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ovn\Documents\"/>
    </mc:Choice>
  </mc:AlternateContent>
  <xr:revisionPtr revIDLastSave="0" documentId="13_ncr:1_{601A4638-1B12-4CC2-A296-48C7B1C0E25D}" xr6:coauthVersionLast="47" xr6:coauthVersionMax="47" xr10:uidLastSave="{00000000-0000-0000-0000-000000000000}"/>
  <workbookProtection workbookAlgorithmName="SHA-512" workbookHashValue="LtUkyC7zUokTavuh4Ak8d5zGzi6LfpFopXVLFiV4COz5R4jqoZ1qMZhL1CIEFLD7aaPaNQc4OB1AEnINjU92QQ==" workbookSaltValue="N0/57HDXq9daBTTE7TTvzg==" workbookSpinCount="100000" lockStructure="1"/>
  <bookViews>
    <workbookView xWindow="-108" yWindow="-108" windowWidth="23256" windowHeight="12576" tabRatio="265" xr2:uid="{00000000-000D-0000-FFFF-FFFF00000000}"/>
  </bookViews>
  <sheets>
    <sheet name="Input Rating &lt;= 12 kW" sheetId="3" r:id="rId1"/>
    <sheet name="Input Rating &gt; 12 kW" sheetId="1" r:id="rId2"/>
    <sheet name="Lookup" sheetId="2" state="hidden" r:id="rId3"/>
  </sheets>
  <definedNames>
    <definedName name="CF">'Input Rating &lt;= 12 kW'!$G$16</definedName>
    <definedName name="EF">'Input Rating &lt;= 12 kW'!$G$7</definedName>
    <definedName name="EFLH">'Input Rating &lt;= 12 kW'!$G$15</definedName>
    <definedName name="FacilityType">'Input Rating &lt;= 12 kW'!$C$14</definedName>
    <definedName name="HWPerSqFt">'Input Rating &lt;= 12 kW'!$G$14</definedName>
    <definedName name="M">'Input Rating &lt;= 12 kW'!$G$8</definedName>
    <definedName name="MissingValues">'Input Rating &lt;= 12 kW'!$M$4</definedName>
    <definedName name="_xlnm.Print_Area" localSheetId="0">'Input Rating &lt;= 12 kW'!$A$1:$K$30</definedName>
    <definedName name="_xlnm.Print_Area" localSheetId="1">'Input Rating &gt; 12 kW'!$A$1:$J$33</definedName>
    <definedName name="Quantity">'Input Rating &lt;= 12 kW'!$C$4</definedName>
    <definedName name="SolarFraction">'Input Rating &lt;= 12 kW'!$C$11</definedName>
    <definedName name="SqFt">'Input Rating &lt;= 12 kW'!$C$19</definedName>
    <definedName name="Volume_BaseERWH">'Input Rating &lt;= 12 kW'!$C$7</definedName>
    <definedName name="WaterTemp_Inlet">'Input Rating &lt;= 12 kW'!$C$23</definedName>
    <definedName name="WaterTemp_Outlet">'Input Rating &lt;= 12 kW'!$C$26</definedName>
    <definedName name="Z_15EC6CF7_CE45_48CB_B686_A1BB5EA0E178_.wvu.PrintArea" localSheetId="1" hidden="1">'Input Rating &gt; 12 kW'!$B$1:$E$1</definedName>
  </definedNames>
  <calcPr calcId="191029"/>
  <customWorkbookViews>
    <customWorkbookView name="Customer View" guid="{15EC6CF7-CE45-48CB-B686-A1BB5EA0E178}" includeHiddenRowCol="0" maximized="1" xWindow="1" yWindow="1" windowWidth="1680" windowHeight="696" tabRatio="2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G15" i="3"/>
  <c r="M4" i="3" s="1"/>
  <c r="G14" i="3"/>
  <c r="L18" i="1"/>
  <c r="C21" i="1"/>
  <c r="D26" i="1"/>
  <c r="F26" i="1" s="1"/>
  <c r="I26" i="1" s="1"/>
  <c r="D27" i="1"/>
  <c r="F27" i="1" s="1"/>
  <c r="I27" i="1" s="1"/>
  <c r="D28" i="1"/>
  <c r="F28" i="1" s="1"/>
  <c r="I28" i="1" s="1"/>
  <c r="D29" i="1"/>
  <c r="F29" i="1" s="1"/>
  <c r="I29" i="1" s="1"/>
  <c r="D25" i="1"/>
  <c r="F25" i="1" s="1"/>
  <c r="I25" i="1" s="1"/>
  <c r="N12" i="1"/>
  <c r="N18" i="1" l="1"/>
  <c r="N15" i="1"/>
  <c r="G8" i="3"/>
  <c r="G7" i="3"/>
  <c r="I29" i="3"/>
  <c r="I15" i="1" l="1"/>
  <c r="L12" i="1" l="1"/>
  <c r="I14" i="1" l="1"/>
  <c r="I19" i="1"/>
  <c r="I22" i="1" s="1"/>
  <c r="L15" i="1"/>
  <c r="S17" i="2" s="1"/>
  <c r="S23" i="2" l="1"/>
  <c r="S13" i="2"/>
  <c r="S6" i="2"/>
  <c r="S8" i="2"/>
  <c r="S22" i="2"/>
  <c r="S21" i="2"/>
  <c r="S4" i="2"/>
  <c r="S10" i="2"/>
  <c r="S14" i="2"/>
  <c r="S9" i="2"/>
  <c r="S7" i="2"/>
  <c r="S18" i="2"/>
  <c r="S12" i="2"/>
  <c r="S15" i="2"/>
  <c r="S20" i="2"/>
  <c r="S5" i="2"/>
  <c r="S11" i="2"/>
  <c r="S19" i="2"/>
  <c r="S16" i="2"/>
  <c r="S24" i="2" l="1"/>
  <c r="I17" i="1" s="1"/>
</calcChain>
</file>

<file path=xl/sharedStrings.xml><?xml version="1.0" encoding="utf-8"?>
<sst xmlns="http://schemas.openxmlformats.org/spreadsheetml/2006/main" count="229" uniqueCount="214">
  <si>
    <t>Derating</t>
  </si>
  <si>
    <t>Collector Tilt</t>
  </si>
  <si>
    <t>kW</t>
  </si>
  <si>
    <t>Maui</t>
  </si>
  <si>
    <t>Warehouse</t>
  </si>
  <si>
    <t>Retail</t>
  </si>
  <si>
    <t>Restaurant</t>
  </si>
  <si>
    <t>Collector Orientation</t>
  </si>
  <si>
    <t>Facility Type</t>
  </si>
  <si>
    <t>Island</t>
  </si>
  <si>
    <t>Hawaiʻi</t>
  </si>
  <si>
    <t>Oʻahu</t>
  </si>
  <si>
    <t>Lānaʻi</t>
  </si>
  <si>
    <t>Molokaʻi</t>
  </si>
  <si>
    <t>Cold Storage</t>
  </si>
  <si>
    <t>Education</t>
  </si>
  <si>
    <t>Grocery</t>
  </si>
  <si>
    <t>Health</t>
  </si>
  <si>
    <t>Hotel/Motel</t>
  </si>
  <si>
    <t>Industrial</t>
  </si>
  <si>
    <t>Office</t>
  </si>
  <si>
    <t>Misc. Commercial</t>
  </si>
  <si>
    <t>EFLH</t>
  </si>
  <si>
    <t>CF</t>
  </si>
  <si>
    <t>Varies</t>
  </si>
  <si>
    <t>(gal/sqft)/yr</t>
  </si>
  <si>
    <t>90° - 104°</t>
  </si>
  <si>
    <t>105° - 114°</t>
  </si>
  <si>
    <t>115° - 124°</t>
  </si>
  <si>
    <t>125° - 134°</t>
  </si>
  <si>
    <t>135° - 224°</t>
  </si>
  <si>
    <t>225° - 234°</t>
  </si>
  <si>
    <t>235° - 244°</t>
  </si>
  <si>
    <t>245° - 254°</t>
  </si>
  <si>
    <t>255° - 270°</t>
  </si>
  <si>
    <t>14° - 39°</t>
  </si>
  <si>
    <t>40° - 44°</t>
  </si>
  <si>
    <t>45° - 49°</t>
  </si>
  <si>
    <t>50° - 54°</t>
  </si>
  <si>
    <t>55° - 59°</t>
  </si>
  <si>
    <t>60°</t>
  </si>
  <si>
    <t>Solar Panel Brand / Model</t>
  </si>
  <si>
    <t># of Panels</t>
  </si>
  <si>
    <t>Sun Zone</t>
  </si>
  <si>
    <t>BTU/kWh</t>
  </si>
  <si>
    <t>Electric</t>
  </si>
  <si>
    <t>Heat Pump</t>
  </si>
  <si>
    <t>COP</t>
  </si>
  <si>
    <t>Solar</t>
  </si>
  <si>
    <t>Existing Type</t>
  </si>
  <si>
    <t>Semi-Prescriptive</t>
  </si>
  <si>
    <t>Total Output (BTU/day)</t>
  </si>
  <si>
    <t>Rated Output per Panel (BTU/day)</t>
  </si>
  <si>
    <t>Annual Energy Savings</t>
  </si>
  <si>
    <t>Peak Demand Reduction</t>
  </si>
  <si>
    <t>Collector Tilt 
(from Horizontal)</t>
  </si>
  <si>
    <t>Collector Orientation 
(from True North)</t>
  </si>
  <si>
    <t>Adjusted Total Output 
(BTU/day)</t>
  </si>
  <si>
    <t>Total Project Cost</t>
  </si>
  <si>
    <t>Cost of Base Alternative</t>
  </si>
  <si>
    <t>Discount Rate</t>
  </si>
  <si>
    <t>Year</t>
  </si>
  <si>
    <t>$/kW/yr.</t>
  </si>
  <si>
    <t>$/kWh/yr.</t>
  </si>
  <si>
    <t>System Loss Factors</t>
  </si>
  <si>
    <t>$ NPV</t>
  </si>
  <si>
    <t>System Life</t>
  </si>
  <si>
    <t>Customer kWh</t>
  </si>
  <si>
    <t>Customer kW</t>
  </si>
  <si>
    <t>System kWh</t>
  </si>
  <si>
    <t>System kW</t>
  </si>
  <si>
    <t>TRB:</t>
  </si>
  <si>
    <t>Total Resource Benefit Calculator</t>
  </si>
  <si>
    <r>
      <t>Requirement:</t>
    </r>
    <r>
      <rPr>
        <i/>
        <sz val="11"/>
        <color theme="1"/>
        <rFont val="Calibri"/>
        <family val="2"/>
        <scheme val="minor"/>
      </rPr>
      <t xml:space="preserve"> Must comply with Solar Rating and Certification Corporation (SRCC) Standards</t>
    </r>
  </si>
  <si>
    <t>550 (Hawai'i Only)</t>
  </si>
  <si>
    <t>480 (Maui Only)</t>
  </si>
  <si>
    <t>Brand/Model</t>
  </si>
  <si>
    <t>Solar Skies/SS-16</t>
  </si>
  <si>
    <t>Solar Skies/SS-18</t>
  </si>
  <si>
    <t>JLM Energy, Inc./Gyezr/HE20</t>
  </si>
  <si>
    <t>Heliodyne/Solpal M</t>
  </si>
  <si>
    <t>Solahart/J Collector</t>
  </si>
  <si>
    <t>Solahart/L Collector</t>
  </si>
  <si>
    <t>SunEarth/EP-21</t>
  </si>
  <si>
    <t>Alternate Energy/AE-21</t>
  </si>
  <si>
    <t>Alternate Energy/MSC-21</t>
  </si>
  <si>
    <t>R&amp;R/SunPro21</t>
  </si>
  <si>
    <t>Solahart/Bt Collector</t>
  </si>
  <si>
    <t>Solahart/Kf Collector</t>
  </si>
  <si>
    <t>Solahart/LCS Collector</t>
  </si>
  <si>
    <t>Solar Skies/NSC-21</t>
  </si>
  <si>
    <t>Solar Skies/SS-21</t>
  </si>
  <si>
    <t>SunEarth/EC-21</t>
  </si>
  <si>
    <t>Heliodyne/Solpal L</t>
  </si>
  <si>
    <t>SunEarth/EP-24</t>
  </si>
  <si>
    <t>SunEarth/IP-24</t>
  </si>
  <si>
    <t>SunEarth/SB-24</t>
  </si>
  <si>
    <t>Alternate Energy/AE-24</t>
  </si>
  <si>
    <t>Alternate Energy/MSC-24</t>
  </si>
  <si>
    <t>Integrated Solar LLC/AS406C</t>
  </si>
  <si>
    <t>R&amp;R/SunPro24</t>
  </si>
  <si>
    <t>Solar Skies/NSC-24</t>
  </si>
  <si>
    <t>Solar Skies/SS-24</t>
  </si>
  <si>
    <t>SunEarth/EC-24</t>
  </si>
  <si>
    <t>SunEarth/IC-24</t>
  </si>
  <si>
    <t>Integrated Solar LLC/AS406P</t>
  </si>
  <si>
    <t>Alternate Energy/AE-26</t>
  </si>
  <si>
    <t>Alternate Energy/MSC-26</t>
  </si>
  <si>
    <t>Solar Skies/NSC-26</t>
  </si>
  <si>
    <t>Solar Skies/SS-26</t>
  </si>
  <si>
    <t>Solene/SLAR-24</t>
  </si>
  <si>
    <t>Solene/SLCO-30</t>
  </si>
  <si>
    <t>Apricus/FPC-A26</t>
  </si>
  <si>
    <t>SunEarth ThermoRay/TRB-26</t>
  </si>
  <si>
    <t>Heliodyne/406-002</t>
  </si>
  <si>
    <t>Alternate Energy/MSC-28</t>
  </si>
  <si>
    <t>Heliodyne/406-001</t>
  </si>
  <si>
    <t>Solar Skies/NSC-28</t>
  </si>
  <si>
    <t>Solar Skies/SS-28</t>
  </si>
  <si>
    <t>Heliodyne/408-002</t>
  </si>
  <si>
    <t>Integrated Solar LLC/AS408P</t>
  </si>
  <si>
    <t>Solene/SLCO-32P</t>
  </si>
  <si>
    <t>Solene/SLAR-32P</t>
  </si>
  <si>
    <t>SunEarth/EP-32</t>
  </si>
  <si>
    <t>SunEarth/IP-32</t>
  </si>
  <si>
    <t>SunEarth/SB-32</t>
  </si>
  <si>
    <t>SunEarth/SP-32</t>
  </si>
  <si>
    <t>Apricus/FPC-A32</t>
  </si>
  <si>
    <t>Alternate Energy/AE-32</t>
  </si>
  <si>
    <t>Alternate Energy/MSC-32</t>
  </si>
  <si>
    <t>Heliodyne/408-001</t>
  </si>
  <si>
    <t>Integrated Solar LLC/AS408C</t>
  </si>
  <si>
    <t>R&amp;R/SunPro32</t>
  </si>
  <si>
    <t>Solar Skies/NSC-32</t>
  </si>
  <si>
    <t>Solar Skies/SS-32</t>
  </si>
  <si>
    <t>Solene/SLAR-32</t>
  </si>
  <si>
    <t>Solene/SLCO-32</t>
  </si>
  <si>
    <t>SunEarth/EC-32</t>
  </si>
  <si>
    <t>SunEarth/IC-32</t>
  </si>
  <si>
    <t>SunEarth ThermoRay/TRB-32</t>
  </si>
  <si>
    <t>Heliodyne/410-002</t>
  </si>
  <si>
    <t>Integrated Solar LLC/AS410P</t>
  </si>
  <si>
    <t>Solene/SLCO-40P</t>
  </si>
  <si>
    <t>Solene/SLAR-40P</t>
  </si>
  <si>
    <t>SunEarth/EP-40</t>
  </si>
  <si>
    <t>SunEarth/IP-40</t>
  </si>
  <si>
    <t>SunEarth/SB-40</t>
  </si>
  <si>
    <t>Alternate Energy/AE-40</t>
  </si>
  <si>
    <t>Alternate Energy/MSC-40</t>
  </si>
  <si>
    <t>Chromagen/CR-140-A-P</t>
  </si>
  <si>
    <t>Heliodyne/410-001</t>
  </si>
  <si>
    <t>Integrated Solar LLC/AS410C</t>
  </si>
  <si>
    <t>R&amp;R/SunPro40</t>
  </si>
  <si>
    <t>Solar Skies/NSC-40</t>
  </si>
  <si>
    <t>Solar Skies/SS-40</t>
  </si>
  <si>
    <t>Solene/SLAR-40</t>
  </si>
  <si>
    <t>Solene/SLCO-40</t>
  </si>
  <si>
    <t>Solene/SLSG-40</t>
  </si>
  <si>
    <t>SunEarth/EC-40</t>
  </si>
  <si>
    <t>SunEarth/IC-40</t>
  </si>
  <si>
    <t>SunEarth ThermoRay/TRB-40</t>
  </si>
  <si>
    <t>Integrated Solar LLC/AS412P</t>
  </si>
  <si>
    <t>Integrated Solar LLC/AS412C</t>
  </si>
  <si>
    <t>Apricus/AP-10</t>
  </si>
  <si>
    <t>Apricus/AP-20</t>
  </si>
  <si>
    <t>Apricus/AP-30</t>
  </si>
  <si>
    <t>Blazing Tubes/BT-40</t>
  </si>
  <si>
    <t>Custom Rated Output per Panel Entry (BTU/day)</t>
  </si>
  <si>
    <t>Notes</t>
  </si>
  <si>
    <t>gal</t>
  </si>
  <si>
    <t>SqFt</t>
  </si>
  <si>
    <r>
      <t>HW</t>
    </r>
    <r>
      <rPr>
        <vertAlign val="subscript"/>
        <sz val="11"/>
        <color theme="1"/>
        <rFont val="Calibri"/>
        <family val="2"/>
        <scheme val="minor"/>
      </rPr>
      <t>per SqFt</t>
    </r>
    <r>
      <rPr>
        <sz val="11"/>
        <color theme="1"/>
        <rFont val="Calibri"/>
        <family val="2"/>
        <scheme val="minor"/>
      </rPr>
      <t xml:space="preserve"> = </t>
    </r>
  </si>
  <si>
    <t xml:space="preserve">EFLH = 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</si>
  <si>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</si>
  <si>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t>Enter Square Footage of Area Served by Solar Water Heater:</t>
  </si>
  <si>
    <t xml:space="preserve">CF = </t>
  </si>
  <si>
    <t xml:space="preserve">EF = </t>
  </si>
  <si>
    <t xml:space="preserve">M = </t>
  </si>
  <si>
    <t>Select Building Type from Dropdown List:</t>
  </si>
  <si>
    <t>Enter inlet temperature of the water heater:</t>
  </si>
  <si>
    <t xml:space="preserve">Site EFLH = </t>
  </si>
  <si>
    <t xml:space="preserve">Site CF = </t>
  </si>
  <si>
    <t>Enter Solar Fraction for new Solar Water Heater:</t>
  </si>
  <si>
    <t>Enter Quantity of new Solar Water Heaters:</t>
  </si>
  <si>
    <r>
      <t>Defaults: 75</t>
    </r>
    <r>
      <rPr>
        <i/>
        <sz val="9"/>
        <color theme="1"/>
        <rFont val="Calibri"/>
        <family val="2"/>
      </rPr>
      <t>°</t>
    </r>
    <r>
      <rPr>
        <i/>
        <sz val="9"/>
        <color theme="1"/>
        <rFont val="Calibri"/>
        <family val="2"/>
        <scheme val="minor"/>
      </rPr>
      <t>F for Honolulu and Hawai‘i Counties. 71°F for Maui County)</t>
    </r>
  </si>
  <si>
    <t>Enter Equivalent Rated Storage Volume for the base case Electric Storage Water Heater:</t>
  </si>
  <si>
    <t>Benefit / Cost Ratio</t>
  </si>
  <si>
    <t>Total Incentive Amount</t>
  </si>
  <si>
    <t>kWh</t>
  </si>
  <si>
    <t>W</t>
  </si>
  <si>
    <t>Incentive</t>
  </si>
  <si>
    <t>Custom - kW</t>
  </si>
  <si>
    <t>Custom - kWh</t>
  </si>
  <si>
    <t>Calculation Method</t>
  </si>
  <si>
    <t>Total Incentive Requested:</t>
  </si>
  <si>
    <t>Missing Values?</t>
  </si>
  <si>
    <t>Base Case Water Heater Type</t>
  </si>
  <si>
    <t>Base Case WH Input Rating</t>
  </si>
  <si>
    <t>Base Case WH: Rated Volume</t>
  </si>
  <si>
    <t>Solar WH: Total Pumping Wattage</t>
  </si>
  <si>
    <t>Solar WH: Annual Pumping Energy</t>
  </si>
  <si>
    <t>Solar WH: Output Adjustment</t>
  </si>
  <si>
    <t>Base Case WH: On-Peak Percentage</t>
  </si>
  <si>
    <t>Missing Total Output?</t>
  </si>
  <si>
    <t xml:space="preserve">Account Name : </t>
  </si>
  <si>
    <t xml:space="preserve">Application # : </t>
  </si>
  <si>
    <t xml:space="preserve">Project Name : </t>
  </si>
  <si>
    <t>This worksheet calculates the incentive for (1) solar water heating system configuration. Provide separate worksheets for different system configurations.</t>
  </si>
  <si>
    <t>Incentive Per System</t>
  </si>
  <si>
    <t>Number of Systems Installed</t>
  </si>
  <si>
    <r>
      <t xml:space="preserve">Solar Water Heating Incentive Worksheet 
</t>
    </r>
    <r>
      <rPr>
        <i/>
        <sz val="11"/>
        <rFont val="Calibri"/>
        <family val="2"/>
        <scheme val="minor"/>
      </rPr>
      <t xml:space="preserve">Base case units with an input rating greater than 12 kW (40,950 Btu/hr) </t>
    </r>
    <r>
      <rPr>
        <b/>
        <sz val="14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Effective </t>
    </r>
    <r>
      <rPr>
        <sz val="12"/>
        <color rgb="FFC00000"/>
        <rFont val="Calibri"/>
        <family val="2"/>
        <scheme val="minor"/>
      </rPr>
      <t>July 1, 2023</t>
    </r>
    <r>
      <rPr>
        <sz val="12"/>
        <rFont val="Calibri"/>
        <family val="2"/>
        <scheme val="minor"/>
      </rPr>
      <t xml:space="preserve"> to </t>
    </r>
    <r>
      <rPr>
        <sz val="12"/>
        <color rgb="FFC00000"/>
        <rFont val="Calibri"/>
        <family val="2"/>
        <scheme val="minor"/>
      </rPr>
      <t>June 30, 2024</t>
    </r>
    <r>
      <rPr>
        <sz val="12"/>
        <rFont val="Calibri"/>
        <family val="2"/>
        <scheme val="minor"/>
      </rPr>
      <t xml:space="preserve">. </t>
    </r>
    <r>
      <rPr>
        <sz val="6"/>
        <rFont val="Calibri"/>
        <family val="2"/>
        <scheme val="minor"/>
      </rPr>
      <t>(WKS_C_WH_Solar_PY23_1VPN)</t>
    </r>
  </si>
  <si>
    <r>
      <t xml:space="preserve">Solar Water Heating Incentive Worksheet 
</t>
    </r>
    <r>
      <rPr>
        <i/>
        <sz val="11"/>
        <rFont val="Calibri"/>
        <family val="2"/>
        <scheme val="minor"/>
      </rPr>
      <t>Base case units with an input rating of 12 kW (40,950 Btu/hr) or less</t>
    </r>
    <r>
      <rPr>
        <b/>
        <sz val="14"/>
        <rFont val="Calibri"/>
        <family val="2"/>
        <scheme val="minor"/>
      </rPr>
      <t xml:space="preserve"> 
</t>
    </r>
    <r>
      <rPr>
        <sz val="12"/>
        <rFont val="Calibri"/>
        <family val="2"/>
        <scheme val="minor"/>
      </rPr>
      <t xml:space="preserve">Effective </t>
    </r>
    <r>
      <rPr>
        <sz val="12"/>
        <color rgb="FFC00000"/>
        <rFont val="Calibri"/>
        <family val="2"/>
        <scheme val="minor"/>
      </rPr>
      <t>July 1, 2023</t>
    </r>
    <r>
      <rPr>
        <sz val="12"/>
        <rFont val="Calibri"/>
        <family val="2"/>
        <scheme val="minor"/>
      </rPr>
      <t xml:space="preserve"> to </t>
    </r>
    <r>
      <rPr>
        <sz val="12"/>
        <color rgb="FFC00000"/>
        <rFont val="Calibri"/>
        <family val="2"/>
        <scheme val="minor"/>
      </rPr>
      <t>June 30, 2024</t>
    </r>
    <r>
      <rPr>
        <sz val="12"/>
        <rFont val="Calibri"/>
        <family val="2"/>
        <scheme val="minor"/>
      </rPr>
      <t xml:space="preserve">. </t>
    </r>
    <r>
      <rPr>
        <sz val="6"/>
        <rFont val="Calibri"/>
        <family val="2"/>
        <scheme val="minor"/>
      </rPr>
      <t>(WKS_C_WH_Solar_PY23_1VPN)</t>
    </r>
  </si>
  <si>
    <t>Enter outlet temperature of the water heater:</t>
  </si>
  <si>
    <t>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</si>
</sst>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0\ &quot;kWh&quot;"/>
    <numFmt numFmtId="166" formatCode="#,##0.000"/>
    <numFmt numFmtId="167" formatCode="#,##0.000\ &quot;kW&quot;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00_);_(&quot;$&quot;* \(#,##0.000\);_(&quot;$&quot;* &quot;-&quot;??_);_(@_)"/>
    <numFmt numFmtId="171" formatCode="0.0%"/>
    <numFmt numFmtId="172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horizontal="right" vertical="center"/>
    </xf>
    <xf numFmtId="1" fontId="0" fillId="0" borderId="1" xfId="6" applyNumberFormat="1" applyFont="1" applyBorder="1" applyAlignment="1" applyProtection="1">
      <alignment horizontal="center" vertical="center"/>
    </xf>
    <xf numFmtId="2" fontId="0" fillId="0" borderId="1" xfId="6" applyNumberFormat="1" applyFont="1" applyBorder="1" applyAlignment="1" applyProtection="1">
      <alignment horizontal="center" vertical="center"/>
    </xf>
    <xf numFmtId="9" fontId="0" fillId="0" borderId="1" xfId="5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168" fontId="8" fillId="0" borderId="1" xfId="7" applyNumberFormat="1" applyFont="1" applyBorder="1" applyAlignment="1" applyProtection="1">
      <alignment horizontal="center" vertical="center"/>
    </xf>
    <xf numFmtId="9" fontId="8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/>
    </xf>
    <xf numFmtId="169" fontId="10" fillId="5" borderId="1" xfId="6" applyNumberFormat="1" applyFont="1" applyFill="1" applyBorder="1" applyAlignment="1" applyProtection="1">
      <alignment horizontal="center" vertical="center"/>
    </xf>
    <xf numFmtId="168" fontId="10" fillId="5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Protection="1"/>
    <xf numFmtId="171" fontId="0" fillId="0" borderId="1" xfId="5" applyNumberFormat="1" applyFont="1" applyBorder="1" applyProtection="1"/>
    <xf numFmtId="168" fontId="0" fillId="0" borderId="1" xfId="0" applyNumberFormat="1" applyBorder="1" applyProtection="1"/>
    <xf numFmtId="170" fontId="0" fillId="0" borderId="1" xfId="0" applyNumberFormat="1" applyBorder="1" applyProtection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9" fontId="0" fillId="2" borderId="1" xfId="5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3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3" fontId="0" fillId="7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3" fontId="0" fillId="2" borderId="1" xfId="6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44" fontId="0" fillId="0" borderId="1" xfId="7" applyFont="1" applyBorder="1" applyAlignment="1" applyProtection="1">
      <alignment vertical="center"/>
    </xf>
    <xf numFmtId="0" fontId="0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44" fontId="0" fillId="0" borderId="1" xfId="7" applyFont="1" applyBorder="1" applyAlignment="1" applyProtection="1">
      <alignment horizontal="center" vertical="center"/>
    </xf>
    <xf numFmtId="3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6" fillId="8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72" fontId="12" fillId="0" borderId="1" xfId="0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3" fontId="15" fillId="0" borderId="0" xfId="0" applyNumberFormat="1" applyFont="1" applyAlignment="1" applyProtection="1">
      <alignment horizontal="center" vertical="center"/>
    </xf>
    <xf numFmtId="3" fontId="15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 indent="1"/>
    </xf>
    <xf numFmtId="0" fontId="16" fillId="0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4" fontId="20" fillId="0" borderId="1" xfId="0" applyNumberFormat="1" applyFont="1" applyFill="1" applyBorder="1" applyAlignment="1" applyProtection="1">
      <alignment horizontal="center" vertical="center"/>
    </xf>
    <xf numFmtId="9" fontId="14" fillId="6" borderId="1" xfId="5" applyFont="1" applyFill="1" applyBorder="1" applyAlignment="1" applyProtection="1">
      <alignment horizontal="left" vertical="center"/>
    </xf>
    <xf numFmtId="168" fontId="0" fillId="2" borderId="1" xfId="0" applyNumberFormat="1" applyFont="1" applyFill="1" applyBorder="1" applyAlignment="1" applyProtection="1">
      <alignment horizontal="center" vertical="center"/>
      <protection locked="0"/>
    </xf>
    <xf numFmtId="165" fontId="12" fillId="0" borderId="1" xfId="0" applyNumberFormat="1" applyFont="1" applyFill="1" applyBorder="1" applyAlignment="1" applyProtection="1">
      <alignment horizontal="center" vertical="center"/>
    </xf>
    <xf numFmtId="167" fontId="12" fillId="0" borderId="1" xfId="0" applyNumberFormat="1" applyFont="1" applyBorder="1" applyAlignment="1" applyProtection="1">
      <alignment horizontal="center" vertical="center"/>
    </xf>
    <xf numFmtId="44" fontId="12" fillId="0" borderId="1" xfId="7" applyFont="1" applyFill="1" applyBorder="1" applyAlignment="1" applyProtection="1">
      <alignment horizontal="center" vertical="center"/>
    </xf>
    <xf numFmtId="44" fontId="13" fillId="9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7" borderId="0" xfId="0" applyFont="1" applyFill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1" fillId="6" borderId="3" xfId="0" applyFont="1" applyFill="1" applyBorder="1" applyAlignment="1" applyProtection="1">
      <alignment horizontal="right" wrapText="1"/>
    </xf>
    <xf numFmtId="0" fontId="21" fillId="6" borderId="4" xfId="0" applyFont="1" applyFill="1" applyBorder="1" applyAlignment="1" applyProtection="1">
      <alignment horizontal="right" wrapText="1"/>
    </xf>
    <xf numFmtId="44" fontId="22" fillId="9" borderId="3" xfId="0" applyNumberFormat="1" applyFont="1" applyFill="1" applyBorder="1" applyAlignment="1" applyProtection="1">
      <alignment horizontal="center" wrapText="1"/>
    </xf>
    <xf numFmtId="44" fontId="22" fillId="9" borderId="5" xfId="0" applyNumberFormat="1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4" borderId="3" xfId="3" applyFont="1" applyFill="1" applyBorder="1" applyAlignment="1" applyProtection="1">
      <alignment horizontal="center" vertical="center"/>
    </xf>
    <xf numFmtId="0" fontId="4" fillId="4" borderId="5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left" vertical="center" wrapText="1"/>
    </xf>
    <xf numFmtId="0" fontId="5" fillId="0" borderId="5" xfId="3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9" fillId="0" borderId="1" xfId="8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right"/>
    </xf>
  </cellXfs>
  <cellStyles count="11">
    <cellStyle name="Comma" xfId="6" builtinId="3"/>
    <cellStyle name="Comma 2" xfId="10" xr:uid="{5372191E-DD70-435C-BDA6-A2CD43485082}"/>
    <cellStyle name="Currency" xfId="7" builtinId="4"/>
    <cellStyle name="Currency 2" xfId="2" xr:uid="{00000000-0005-0000-0000-000002000000}"/>
    <cellStyle name="Currency 3" xfId="9" xr:uid="{00000000-0005-0000-0000-000003000000}"/>
    <cellStyle name="Normal" xfId="0" builtinId="0"/>
    <cellStyle name="Normal 2" xfId="1" xr:uid="{00000000-0005-0000-0000-000005000000}"/>
    <cellStyle name="Normal_Motors" xfId="3" xr:uid="{00000000-0005-0000-0000-000006000000}"/>
    <cellStyle name="Normal_Motors (2)" xfId="8" xr:uid="{00000000-0005-0000-0000-000007000000}"/>
    <cellStyle name="Percent" xfId="5" builtinId="5"/>
    <cellStyle name="Percent 2" xfId="4" xr:uid="{00000000-0005-0000-0000-000009000000}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00BCE4"/>
      <color rgb="FF00B2E4"/>
      <color rgb="FF0000FF"/>
      <color rgb="FF37CB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2</xdr:col>
      <xdr:colOff>499110</xdr:colOff>
      <xdr:row>0</xdr:row>
      <xdr:rowOff>910590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08613BC-C2AB-4CAA-A7A9-D61C98B8D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876300" cy="864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152019</xdr:rowOff>
    </xdr:from>
    <xdr:to>
      <xdr:col>2</xdr:col>
      <xdr:colOff>893157</xdr:colOff>
      <xdr:row>0</xdr:row>
      <xdr:rowOff>786324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19"/>
          <a:ext cx="2874357" cy="634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4955E-4799-4E59-927E-2FAF6F024FEF}">
  <sheetPr codeName="Sheet35">
    <pageSetUpPr autoPageBreaks="0"/>
  </sheetPr>
  <dimension ref="B1:M29"/>
  <sheetViews>
    <sheetView showGridLines="0" tabSelected="1" zoomScaleNormal="100" workbookViewId="0">
      <selection activeCell="C4" sqref="C4"/>
    </sheetView>
  </sheetViews>
  <sheetFormatPr defaultColWidth="8.7109375" defaultRowHeight="15" customHeight="1" x14ac:dyDescent="0.25"/>
  <cols>
    <col min="1" max="1" width="2.7109375" style="70" customWidth="1"/>
    <col min="2" max="2" width="6.7109375" style="70" customWidth="1"/>
    <col min="3" max="3" width="8.7109375" style="44" customWidth="1"/>
    <col min="4" max="4" width="8.7109375" style="70" customWidth="1"/>
    <col min="5" max="5" width="4.7109375" style="70" customWidth="1"/>
    <col min="6" max="6" width="10.7109375" style="71" customWidth="1"/>
    <col min="7" max="7" width="10.7109375" style="70" customWidth="1"/>
    <col min="8" max="8" width="10.85546875" style="70" bestFit="1" customWidth="1"/>
    <col min="9" max="9" width="10.7109375" style="70" customWidth="1"/>
    <col min="10" max="10" width="8.7109375" style="70"/>
    <col min="11" max="11" width="2.7109375" style="70" customWidth="1"/>
    <col min="12" max="12" width="2.7109375" style="70" hidden="1" customWidth="1"/>
    <col min="13" max="13" width="16.5703125" style="70" hidden="1" customWidth="1"/>
    <col min="14" max="16384" width="8.7109375" style="70"/>
  </cols>
  <sheetData>
    <row r="1" spans="2:13" ht="75" customHeight="1" thickBot="1" x14ac:dyDescent="0.3">
      <c r="B1" s="104"/>
      <c r="C1" s="105"/>
      <c r="D1" s="106" t="s">
        <v>211</v>
      </c>
      <c r="E1" s="107"/>
      <c r="F1" s="107"/>
      <c r="G1" s="107"/>
      <c r="H1" s="107"/>
      <c r="I1" s="107"/>
      <c r="J1" s="108"/>
    </row>
    <row r="3" spans="2:13" ht="15" customHeight="1" x14ac:dyDescent="0.25">
      <c r="B3" s="70" t="s">
        <v>183</v>
      </c>
      <c r="M3" s="72" t="s">
        <v>195</v>
      </c>
    </row>
    <row r="4" spans="2:13" ht="15" customHeight="1" x14ac:dyDescent="0.25">
      <c r="C4" s="36"/>
      <c r="D4" s="70" t="s">
        <v>213</v>
      </c>
      <c r="M4" s="73" t="b">
        <f>OR(ISBLANK(Quantity),ISBLANK(Volume_BaseERWH),ISBLANK(SolarFraction),ISBLANK(FacilityType),AND(EFLH="Varies",OR(ISBLANK(I15),ISBLANK(I16))),ISBLANK(SqFt),ISBLANK(WaterTemp_Inlet),ISBLANK(WaterTemp_Outlet))</f>
        <v>1</v>
      </c>
    </row>
    <row r="6" spans="2:13" ht="15" customHeight="1" x14ac:dyDescent="0.25">
      <c r="B6" s="70" t="s">
        <v>185</v>
      </c>
    </row>
    <row r="7" spans="2:13" ht="15" customHeight="1" x14ac:dyDescent="0.25">
      <c r="C7" s="36"/>
      <c r="D7" s="70" t="s">
        <v>169</v>
      </c>
      <c r="F7" s="71" t="s">
        <v>176</v>
      </c>
      <c r="G7" s="55">
        <f>IF(Volume_BaseERWH &gt; 55, 2.057 - 0.00113 * Volume_BaseERWH, 0.96 - 0.0003 * Volume_BaseERWH)</f>
        <v>0.96</v>
      </c>
    </row>
    <row r="8" spans="2:13" ht="15" customHeight="1" x14ac:dyDescent="0.25">
      <c r="C8" s="70"/>
      <c r="F8" s="71" t="s">
        <v>177</v>
      </c>
      <c r="G8" s="74">
        <f>IF(Volume_BaseERWH &gt; 55, 1.5, 1)</f>
        <v>1</v>
      </c>
    </row>
    <row r="10" spans="2:13" ht="15" customHeight="1" x14ac:dyDescent="0.25">
      <c r="B10" s="70" t="s">
        <v>182</v>
      </c>
    </row>
    <row r="11" spans="2:13" ht="15" customHeight="1" x14ac:dyDescent="0.25">
      <c r="C11" s="52"/>
    </row>
    <row r="13" spans="2:13" ht="15" customHeight="1" x14ac:dyDescent="0.25">
      <c r="B13" s="70" t="s">
        <v>178</v>
      </c>
    </row>
    <row r="14" spans="2:13" ht="15" customHeight="1" x14ac:dyDescent="0.25">
      <c r="C14" s="102"/>
      <c r="D14" s="103"/>
      <c r="F14" s="71" t="s">
        <v>171</v>
      </c>
      <c r="G14" s="75" t="str">
        <f>IFERROR(INDEX(Lookup!$E$2:$E$12, MATCH('Input Rating &lt;= 12 kW'!$C$14, Lookup!$D$2:$D$12, 0)), "")</f>
        <v/>
      </c>
    </row>
    <row r="15" spans="2:13" ht="15" customHeight="1" x14ac:dyDescent="0.25">
      <c r="C15" s="70"/>
      <c r="F15" s="71" t="s">
        <v>172</v>
      </c>
      <c r="G15" s="76" t="str">
        <f>IFERROR(INDEX(Lookup!$F$2:$F$12, MATCH('Input Rating &lt;= 12 kW'!$C$14, Lookup!$D$2:$D$12, 0)), "")</f>
        <v/>
      </c>
      <c r="H15" s="71" t="s">
        <v>180</v>
      </c>
      <c r="I15" s="68"/>
    </row>
    <row r="16" spans="2:13" ht="15" customHeight="1" x14ac:dyDescent="0.25">
      <c r="C16" s="70"/>
      <c r="F16" s="71" t="s">
        <v>175</v>
      </c>
      <c r="G16" s="75" t="str">
        <f>IFERROR(INDEX(Lookup!$G$2:$G$12, MATCH('Input Rating &lt;= 12 kW'!$C$14, Lookup!$D$2:$D$12, 0)), "")</f>
        <v/>
      </c>
      <c r="H16" s="71" t="s">
        <v>181</v>
      </c>
      <c r="I16" s="69"/>
    </row>
    <row r="18" spans="2:10" ht="15" customHeight="1" x14ac:dyDescent="0.25">
      <c r="B18" s="70" t="s">
        <v>174</v>
      </c>
    </row>
    <row r="19" spans="2:10" ht="15" customHeight="1" x14ac:dyDescent="0.25">
      <c r="C19" s="53"/>
      <c r="D19" s="70" t="s">
        <v>170</v>
      </c>
    </row>
    <row r="20" spans="2:10" ht="15" customHeight="1" x14ac:dyDescent="0.25">
      <c r="C20" s="77"/>
      <c r="D20" s="77"/>
      <c r="E20" s="77"/>
      <c r="F20" s="78"/>
    </row>
    <row r="21" spans="2:10" ht="15" customHeight="1" x14ac:dyDescent="0.25">
      <c r="B21" s="70" t="s">
        <v>179</v>
      </c>
      <c r="C21" s="77"/>
      <c r="D21" s="77"/>
      <c r="E21" s="77"/>
      <c r="F21" s="78"/>
    </row>
    <row r="22" spans="2:10" ht="15" customHeight="1" x14ac:dyDescent="0.25">
      <c r="B22" s="79" t="s">
        <v>184</v>
      </c>
      <c r="C22" s="77"/>
      <c r="D22" s="77"/>
      <c r="E22" s="77"/>
      <c r="F22" s="78"/>
    </row>
    <row r="23" spans="2:10" ht="15" customHeight="1" x14ac:dyDescent="0.25">
      <c r="C23" s="36"/>
      <c r="D23" s="70" t="s">
        <v>173</v>
      </c>
    </row>
    <row r="24" spans="2:10" ht="15" customHeight="1" x14ac:dyDescent="0.25">
      <c r="C24" s="77"/>
      <c r="D24" s="77"/>
      <c r="E24" s="77"/>
      <c r="F24" s="78"/>
    </row>
    <row r="25" spans="2:10" ht="15" customHeight="1" x14ac:dyDescent="0.25">
      <c r="B25" s="70" t="s">
        <v>212</v>
      </c>
      <c r="C25" s="77"/>
      <c r="D25" s="77"/>
      <c r="E25" s="77"/>
      <c r="F25" s="78"/>
    </row>
    <row r="26" spans="2:10" ht="15" customHeight="1" x14ac:dyDescent="0.25">
      <c r="C26" s="36"/>
      <c r="D26" s="70" t="s">
        <v>173</v>
      </c>
    </row>
    <row r="28" spans="2:10" ht="15" customHeight="1" thickBot="1" x14ac:dyDescent="0.3"/>
    <row r="29" spans="2:10" ht="15" customHeight="1" thickBot="1" x14ac:dyDescent="0.3">
      <c r="B29" s="98" t="s">
        <v>194</v>
      </c>
      <c r="C29" s="99"/>
      <c r="D29" s="99"/>
      <c r="E29" s="99"/>
      <c r="F29" s="99"/>
      <c r="G29" s="99"/>
      <c r="H29" s="99"/>
      <c r="I29" s="100" t="str">
        <f>IF(MissingValues, "Form Incomplete", Quantity * Lookup!$J$13)</f>
        <v>Form Incomplete</v>
      </c>
      <c r="J29" s="101"/>
    </row>
  </sheetData>
  <sheetProtection algorithmName="SHA-512" hashValue="nDDYZVeuubl1kkkNwVFv1CH/w93RnWpoNewoT8uQ4sSA0rjcuSnCMV6TEowZsaEAzzYQRiaM7Ju1Zh7FGSuZRQ==" saltValue="OnUEkLedfSnM8MYX/yw+ng==" spinCount="100000" sheet="1" objects="1" scenarios="1" selectLockedCells="1"/>
  <mergeCells count="5">
    <mergeCell ref="B29:H29"/>
    <mergeCell ref="I29:J29"/>
    <mergeCell ref="C14:D14"/>
    <mergeCell ref="B1:C1"/>
    <mergeCell ref="D1:J1"/>
  </mergeCells>
  <conditionalFormatting sqref="H15:H16">
    <cfRule type="expression" dxfId="7" priority="2">
      <formula>EFLH &lt;&gt; "Varies"</formula>
    </cfRule>
  </conditionalFormatting>
  <conditionalFormatting sqref="I15:I16">
    <cfRule type="expression" dxfId="6" priority="1">
      <formula>EFLH &lt;&gt; "Varies"</formula>
    </cfRule>
  </conditionalFormatting>
  <dataValidations count="5">
    <dataValidation type="decimal" operator="greaterThan" allowBlank="1" showInputMessage="1" showErrorMessage="1" errorTitle="Invalid Input" error="Allowed values: Numbers greater than 0" sqref="C7 C23 C26 C19" xr:uid="{5D854392-BD2B-4154-9604-C4005BDE3414}">
      <formula1>0</formula1>
    </dataValidation>
    <dataValidation type="whole" operator="greaterThan" allowBlank="1" showInputMessage="1" showErrorMessage="1" errorTitle="Invalid Input" error="Allowed values: Whole numbers greater than 0" sqref="C4" xr:uid="{76A62578-8E29-4CBE-A63F-E5C32DD5335C}">
      <formula1>0</formula1>
    </dataValidation>
    <dataValidation type="decimal" allowBlank="1" showInputMessage="1" showErrorMessage="1" errorTitle="Invalid Input" error="Allowed values: 0.00 to 1.00" sqref="C11" xr:uid="{589D0E25-0838-4BD7-9755-921885926F3F}">
      <formula1>0</formula1>
      <formula2>1</formula2>
    </dataValidation>
    <dataValidation type="decimal" allowBlank="1" showInputMessage="1" showErrorMessage="1" errorTitle="Invalid Input" error="Allowed values: 1 to 8760" prompt="The hours that the system would need to operate at in order to consume its estimated annual kWh consumption." sqref="I15" xr:uid="{576C7F52-DD85-4C79-9EB2-2FB2157A5D26}">
      <formula1>1</formula1>
      <formula2>8760</formula2>
    </dataValidation>
    <dataValidation type="decimal" allowBlank="1" showInputMessage="1" showErrorMessage="1" errorTitle="Invalid Input" error="Allowed values: 0.00 to 1.00" prompt="The percent of time the electric heating element is generating hot water in the 4 hours between 5 and 9 PM._x000a__x000a_A higher % figure = higher peak demand reduction since the electric resistance heating element is working more during the peak period." sqref="I16" xr:uid="{CD83DB38-3F98-404B-8ACC-D52B2D25FD91}">
      <formula1>0</formula1>
      <formula2>1</formula2>
    </dataValidation>
  </dataValidations>
  <pageMargins left="0.7" right="0.7" top="0.75" bottom="0.75" header="0.3" footer="0.3"/>
  <pageSetup orientation="portrait" r:id="rId1"/>
  <headerFooter differentFirst="1" scaleWithDoc="0">
    <oddHeader>&amp;C&amp;"Arial,Regular"&amp;09&amp;I&amp;K000000Leidos Proprietary</oddHeader>
    <oddFooter>&amp;LPY21 TRM V1.0&amp;RPage &amp;P-1  &amp;C&amp;"Calibri,Regular"&amp;10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4C9917-C440-4EA2-A53C-732ED195874D}">
          <x14:formula1>
            <xm:f>Lookup!$D$2:$D$12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40"/>
  <sheetViews>
    <sheetView showGridLines="0" showRuler="0" showWhiteSpace="0" zoomScaleNormal="100" zoomScaleSheetLayoutView="80" zoomScalePageLayoutView="90" workbookViewId="0">
      <selection activeCell="C3" sqref="C3:E3"/>
    </sheetView>
  </sheetViews>
  <sheetFormatPr defaultColWidth="8.85546875" defaultRowHeight="15" x14ac:dyDescent="0.25"/>
  <cols>
    <col min="1" max="1" width="2.7109375" style="1" customWidth="1"/>
    <col min="2" max="2" width="33" style="1" bestFit="1" customWidth="1"/>
    <col min="3" max="3" width="16.7109375" style="1" bestFit="1" customWidth="1"/>
    <col min="4" max="4" width="18.28515625" style="1" customWidth="1"/>
    <col min="5" max="7" width="12.85546875" style="1" customWidth="1"/>
    <col min="8" max="8" width="27" style="1" bestFit="1" customWidth="1"/>
    <col min="9" max="9" width="23" style="1" customWidth="1"/>
    <col min="10" max="10" width="2.7109375" style="11" customWidth="1"/>
    <col min="11" max="11" width="4.7109375" style="60" hidden="1" customWidth="1"/>
    <col min="12" max="12" width="15.28515625" style="1" hidden="1" customWidth="1"/>
    <col min="13" max="13" width="2.7109375" style="1" hidden="1" customWidth="1"/>
    <col min="14" max="14" width="20.5703125" style="1" hidden="1" customWidth="1"/>
    <col min="15" max="16" width="15.7109375" style="1" customWidth="1"/>
    <col min="17" max="16384" width="8.85546875" style="1"/>
  </cols>
  <sheetData>
    <row r="1" spans="2:16" ht="75" customHeight="1" thickBot="1" x14ac:dyDescent="0.3">
      <c r="B1" s="104"/>
      <c r="C1" s="105"/>
      <c r="D1" s="106" t="s">
        <v>210</v>
      </c>
      <c r="E1" s="107"/>
      <c r="F1" s="107"/>
      <c r="G1" s="107"/>
      <c r="H1" s="107"/>
      <c r="I1" s="108"/>
      <c r="J1" s="59"/>
      <c r="K1" s="59"/>
      <c r="L1" s="12"/>
      <c r="M1" s="12"/>
    </row>
    <row r="3" spans="2:16" x14ac:dyDescent="0.25">
      <c r="B3" s="4" t="s">
        <v>204</v>
      </c>
      <c r="C3" s="109"/>
      <c r="D3" s="109"/>
      <c r="E3" s="109"/>
      <c r="F3" s="11"/>
      <c r="G3" s="4" t="s">
        <v>206</v>
      </c>
      <c r="H3" s="110"/>
      <c r="I3" s="110"/>
      <c r="N3" s="19"/>
      <c r="O3" s="11"/>
      <c r="P3" s="11"/>
    </row>
    <row r="4" spans="2:16" x14ac:dyDescent="0.25">
      <c r="N4" s="11"/>
      <c r="O4" s="11"/>
      <c r="P4" s="11"/>
    </row>
    <row r="5" spans="2:16" x14ac:dyDescent="0.25">
      <c r="B5" s="4" t="s">
        <v>205</v>
      </c>
      <c r="C5" s="109"/>
      <c r="D5" s="109"/>
      <c r="E5" s="109"/>
      <c r="N5" s="19"/>
      <c r="O5" s="11"/>
      <c r="P5" s="11"/>
    </row>
    <row r="6" spans="2:16" x14ac:dyDescent="0.25">
      <c r="G6" s="51"/>
      <c r="H6" s="51"/>
    </row>
    <row r="7" spans="2:16" x14ac:dyDescent="0.25">
      <c r="B7" s="21"/>
      <c r="C7" s="21"/>
      <c r="D7" s="21"/>
      <c r="E7" s="21"/>
      <c r="F7" s="21"/>
      <c r="G7" s="22"/>
      <c r="H7" s="22"/>
      <c r="I7" s="21"/>
    </row>
    <row r="8" spans="2:16" x14ac:dyDescent="0.25">
      <c r="B8" s="113" t="s">
        <v>73</v>
      </c>
      <c r="C8" s="113"/>
      <c r="D8" s="113"/>
      <c r="E8" s="113"/>
      <c r="F8" s="113"/>
      <c r="G8" s="113"/>
      <c r="H8" s="113"/>
      <c r="I8" s="113"/>
      <c r="J8" s="113"/>
      <c r="K8" s="49"/>
    </row>
    <row r="9" spans="2:16" x14ac:dyDescent="0.25">
      <c r="B9" s="112" t="s">
        <v>207</v>
      </c>
      <c r="C9" s="112"/>
      <c r="D9" s="112"/>
      <c r="E9" s="112"/>
      <c r="F9" s="112"/>
      <c r="G9" s="112"/>
      <c r="H9" s="112"/>
      <c r="I9" s="112"/>
      <c r="J9" s="49"/>
      <c r="K9" s="49"/>
    </row>
    <row r="10" spans="2:16" x14ac:dyDescent="0.25">
      <c r="B10" s="49"/>
      <c r="C10" s="49"/>
      <c r="D10" s="49"/>
      <c r="E10" s="49"/>
      <c r="F10" s="49"/>
      <c r="G10" s="49"/>
      <c r="H10" s="49"/>
      <c r="I10" s="49"/>
      <c r="J10" s="82"/>
      <c r="K10" s="49"/>
    </row>
    <row r="11" spans="2:16" x14ac:dyDescent="0.25">
      <c r="B11" s="5" t="s">
        <v>9</v>
      </c>
      <c r="C11" s="36"/>
      <c r="D11" s="31"/>
      <c r="E11" s="31"/>
      <c r="F11" s="31"/>
      <c r="G11" s="31"/>
      <c r="H11" s="50" t="s">
        <v>58</v>
      </c>
      <c r="I11" s="86"/>
      <c r="L11" s="63" t="s">
        <v>67</v>
      </c>
      <c r="N11" s="63" t="s">
        <v>68</v>
      </c>
    </row>
    <row r="12" spans="2:16" x14ac:dyDescent="0.25">
      <c r="B12" s="5" t="s">
        <v>43</v>
      </c>
      <c r="C12" s="37"/>
      <c r="H12" s="50" t="s">
        <v>59</v>
      </c>
      <c r="I12" s="86"/>
      <c r="L12" s="54" t="e">
        <f>ROUND(SUM(I25:I29) * 365 / Lookup!$A$16 / VLOOKUP($C$15, Lookup!$A$2:$B$4, 2, FALSE) - $C$21, 2)</f>
        <v>#N/A</v>
      </c>
      <c r="N12" s="57">
        <f>$C$16 * $C$18</f>
        <v>0</v>
      </c>
    </row>
    <row r="13" spans="2:16" x14ac:dyDescent="0.25">
      <c r="B13" s="5" t="s">
        <v>8</v>
      </c>
      <c r="C13" s="36"/>
    </row>
    <row r="14" spans="2:16" x14ac:dyDescent="0.25">
      <c r="B14" s="51"/>
      <c r="C14" s="51"/>
      <c r="H14" s="48" t="s">
        <v>53</v>
      </c>
      <c r="I14" s="87" t="str">
        <f>IF(OR($L$18, $N$18), "Form Incomplete", IF(ISERROR($L$12), "Check Inputs", L12))</f>
        <v>Form Incomplete</v>
      </c>
      <c r="L14" s="64" t="s">
        <v>69</v>
      </c>
      <c r="N14" s="63" t="s">
        <v>70</v>
      </c>
    </row>
    <row r="15" spans="2:16" x14ac:dyDescent="0.25">
      <c r="B15" s="18" t="s">
        <v>196</v>
      </c>
      <c r="C15" s="36"/>
      <c r="H15" s="50" t="s">
        <v>54</v>
      </c>
      <c r="I15" s="88" t="str">
        <f>IF(OR($L$18, $N$18), "Form Incomplete", IF(ISERROR($N$12), "Check Inputs", $N$12))</f>
        <v>Form Incomplete</v>
      </c>
      <c r="L15" s="54" t="e">
        <f>L12 * (1 + VLOOKUP($C$11, Lookup!$U$2:$V$6, 2, FALSE))</f>
        <v>#N/A</v>
      </c>
      <c r="N15" s="56" t="e">
        <f>N12 * (1 + VLOOKUP($C$11, Lookup!$U$2:$V$6, 2, FALSE))</f>
        <v>#N/A</v>
      </c>
    </row>
    <row r="16" spans="2:16" ht="15" customHeight="1" x14ac:dyDescent="0.25">
      <c r="B16" s="18" t="s">
        <v>197</v>
      </c>
      <c r="C16" s="37"/>
      <c r="D16" s="1" t="s">
        <v>2</v>
      </c>
      <c r="E16" s="51"/>
      <c r="F16" s="51"/>
      <c r="G16" s="16"/>
    </row>
    <row r="17" spans="2:14" x14ac:dyDescent="0.25">
      <c r="B17" s="18" t="s">
        <v>198</v>
      </c>
      <c r="C17" s="38"/>
      <c r="D17" s="1" t="s">
        <v>169</v>
      </c>
      <c r="E17" s="51"/>
      <c r="F17" s="51"/>
      <c r="G17" s="16"/>
      <c r="H17" s="80" t="s">
        <v>186</v>
      </c>
      <c r="I17" s="84" t="str">
        <f>IF(NOT(OR(ISBLANK(I11), ISBLANK(I12))), Lookup!$S$24 / ($I$11 - $I$12), "Check Inputs")</f>
        <v>Check Inputs</v>
      </c>
      <c r="L17" s="65" t="s">
        <v>195</v>
      </c>
      <c r="N17" s="65" t="s">
        <v>203</v>
      </c>
    </row>
    <row r="18" spans="2:14" x14ac:dyDescent="0.25">
      <c r="B18" s="18" t="s">
        <v>202</v>
      </c>
      <c r="C18" s="39"/>
      <c r="E18" s="51"/>
      <c r="F18" s="51"/>
      <c r="G18" s="16"/>
      <c r="L18" s="58" t="b">
        <f>OR(ISBLANK(C11), ISBLANK(C12), ISBLANK(C13), ISBLANK(C15), ISBLANK(C16), ISBLANK(C17), ISBLANK(C18), ISBLANK(C20), ISBLANK(C22), ISBLANK(I11), ISBLANK(I12), ISBLANK(I20))</f>
        <v>1</v>
      </c>
      <c r="N18" s="58" t="b">
        <f>NOT(OR(ISNUMBER(I25), ISNUMBER(I26), ISNUMBER(I27), ISNUMBER(I28), ISNUMBER(I29)))</f>
        <v>1</v>
      </c>
    </row>
    <row r="19" spans="2:14" x14ac:dyDescent="0.25">
      <c r="E19" s="51"/>
      <c r="F19" s="51"/>
      <c r="G19" s="16"/>
      <c r="H19" s="48" t="s">
        <v>208</v>
      </c>
      <c r="I19" s="89" t="str">
        <f>IF(OR($L$18, $N$18), "Form Incomplete", IFERROR(L12 * Lookup!J15 + N12 * Lookup!J14, "Check Inputs"))</f>
        <v>Form Incomplete</v>
      </c>
    </row>
    <row r="20" spans="2:14" x14ac:dyDescent="0.25">
      <c r="B20" s="18" t="s">
        <v>199</v>
      </c>
      <c r="C20" s="38"/>
      <c r="D20" s="66" t="s">
        <v>189</v>
      </c>
      <c r="E20" s="51"/>
      <c r="F20" s="51"/>
      <c r="G20" s="16"/>
      <c r="H20" s="5" t="s">
        <v>209</v>
      </c>
      <c r="I20" s="38"/>
    </row>
    <row r="21" spans="2:14" x14ac:dyDescent="0.25">
      <c r="B21" s="18" t="s">
        <v>200</v>
      </c>
      <c r="C21" s="83" t="str">
        <f>IF(ISBLANK($C$20), "", ($C$20/1000) * 1292)</f>
        <v/>
      </c>
      <c r="D21" s="66" t="s">
        <v>188</v>
      </c>
      <c r="E21" s="51"/>
      <c r="F21" s="51"/>
      <c r="G21" s="16"/>
      <c r="L21" s="81"/>
    </row>
    <row r="22" spans="2:14" x14ac:dyDescent="0.25">
      <c r="B22" s="18" t="s">
        <v>201</v>
      </c>
      <c r="C22" s="39"/>
      <c r="D22" s="51"/>
      <c r="H22" s="85" t="s">
        <v>187</v>
      </c>
      <c r="I22" s="90" t="str">
        <f>IF(OR($L$18, $N$18), "Form Incomplete", I19 * I20)</f>
        <v>Form Incomplete</v>
      </c>
    </row>
    <row r="24" spans="2:14" ht="75" x14ac:dyDescent="0.25">
      <c r="B24" s="10" t="s">
        <v>41</v>
      </c>
      <c r="C24" s="10" t="s">
        <v>42</v>
      </c>
      <c r="D24" s="17" t="s">
        <v>52</v>
      </c>
      <c r="E24" s="17" t="s">
        <v>167</v>
      </c>
      <c r="F24" s="10" t="s">
        <v>51</v>
      </c>
      <c r="G24" s="10" t="s">
        <v>56</v>
      </c>
      <c r="H24" s="10" t="s">
        <v>55</v>
      </c>
      <c r="I24" s="10" t="s">
        <v>57</v>
      </c>
      <c r="J24" s="61"/>
      <c r="K24" s="114"/>
      <c r="L24" s="114"/>
    </row>
    <row r="25" spans="2:14" x14ac:dyDescent="0.25">
      <c r="B25" s="36"/>
      <c r="C25" s="40"/>
      <c r="D25" s="45" t="str">
        <f>IFERROR(IF(AND(ISBLANK(B25), ISBLANK($C$12)), "", INDEX(Lookup!$A$18:$G$108, MATCH(B25, Lookup!$A$18:$A$108, 0), MATCH($C$12, Lookup!$A$18:$G$18, 0))), "Check Inputs")</f>
        <v/>
      </c>
      <c r="E25" s="41"/>
      <c r="F25" s="13" t="str">
        <f>IFERROR(IF(ISBLANK(E25), C25 * D25, C25 * E25), "")</f>
        <v/>
      </c>
      <c r="G25" s="36"/>
      <c r="H25" s="36"/>
      <c r="I25" s="13" t="str">
        <f>IFERROR((F25 - F25 * (VLOOKUP(G25, Lookup!$I$2:$J$10, 2, FALSE) + VLOOKUP(H25, Lookup!$L$2:$M$7, 2, FALSE))) * $C$22, "Check Inputs")</f>
        <v>Check Inputs</v>
      </c>
      <c r="J25" s="61"/>
      <c r="K25" s="1"/>
    </row>
    <row r="26" spans="2:14" x14ac:dyDescent="0.25">
      <c r="B26" s="36"/>
      <c r="C26" s="40"/>
      <c r="D26" s="45" t="str">
        <f>IFERROR(IF(AND(ISBLANK(B26), ISBLANK($C$12)), "", INDEX(Lookup!$A$18:$G$108, MATCH(B26, Lookup!$A$18:$A$108, 0), MATCH($C$12, Lookup!$A$18:$G$18, 0))), "Check Inputs")</f>
        <v/>
      </c>
      <c r="E26" s="41"/>
      <c r="F26" s="13" t="str">
        <f>IFERROR(IF(ISBLANK(E26), C26 * D26, C26 * E26), "")</f>
        <v/>
      </c>
      <c r="G26" s="36"/>
      <c r="H26" s="36"/>
      <c r="I26" s="13" t="str">
        <f>IFERROR((F26 - F26 * (VLOOKUP(G26, Lookup!$I$2:$J$10, 2, FALSE) + VLOOKUP(H26, Lookup!$L$2:$M$7, 2, FALSE))) * $C$22, "Check Inputs")</f>
        <v>Check Inputs</v>
      </c>
      <c r="J26" s="61"/>
      <c r="K26" s="1"/>
    </row>
    <row r="27" spans="2:14" x14ac:dyDescent="0.25">
      <c r="B27" s="36"/>
      <c r="C27" s="40"/>
      <c r="D27" s="45" t="str">
        <f>IFERROR(IF(AND(ISBLANK(B27), ISBLANK($C$12)), "", INDEX(Lookup!$A$18:$G$108, MATCH(B27, Lookup!$A$18:$A$108, 0), MATCH($C$12, Lookup!$A$18:$G$18, 0))), "Check Inputs")</f>
        <v/>
      </c>
      <c r="E27" s="41"/>
      <c r="F27" s="13" t="str">
        <f>IFERROR(IF(ISBLANK(E27), C27 * D27, C27 * E27), "")</f>
        <v/>
      </c>
      <c r="G27" s="36"/>
      <c r="H27" s="36"/>
      <c r="I27" s="13" t="str">
        <f>IFERROR((F27 - F27 * (VLOOKUP(G27, Lookup!$I$2:$J$10, 2, FALSE) + VLOOKUP(H27, Lookup!$L$2:$M$7, 2, FALSE))) * $C$22, "Check Inputs")</f>
        <v>Check Inputs</v>
      </c>
      <c r="J27" s="61"/>
      <c r="K27" s="1"/>
    </row>
    <row r="28" spans="2:14" x14ac:dyDescent="0.25">
      <c r="B28" s="36"/>
      <c r="C28" s="40"/>
      <c r="D28" s="45" t="str">
        <f>IFERROR(IF(AND(ISBLANK(B28), ISBLANK($C$12)), "", INDEX(Lookup!$A$18:$G$108, MATCH(B28, Lookup!$A$18:$A$108, 0), MATCH($C$12, Lookup!$A$18:$G$18, 0))), "Check Inputs")</f>
        <v/>
      </c>
      <c r="E28" s="41"/>
      <c r="F28" s="13" t="str">
        <f>IFERROR(IF(ISBLANK(E28), C28 * D28, C28 * E28), "")</f>
        <v/>
      </c>
      <c r="G28" s="36"/>
      <c r="H28" s="36"/>
      <c r="I28" s="13" t="str">
        <f>IFERROR((F28 - F28 * (VLOOKUP(G28, Lookup!$I$2:$J$10, 2, FALSE) + VLOOKUP(H28, Lookup!$L$2:$M$7, 2, FALSE))) * $C$22, "Check Inputs")</f>
        <v>Check Inputs</v>
      </c>
      <c r="J28" s="61"/>
      <c r="K28" s="1"/>
    </row>
    <row r="29" spans="2:14" x14ac:dyDescent="0.25">
      <c r="B29" s="36"/>
      <c r="C29" s="40"/>
      <c r="D29" s="45" t="str">
        <f>IFERROR(IF(AND(ISBLANK(B29), ISBLANK($C$12)), "", INDEX(Lookup!$A$18:$G$108, MATCH(B29, Lookup!$A$18:$A$108, 0), MATCH($C$12, Lookup!$A$18:$G$18, 0))), "Check Inputs")</f>
        <v/>
      </c>
      <c r="E29" s="41"/>
      <c r="F29" s="13" t="str">
        <f>IFERROR(IF(ISBLANK(E29), C29 * D29, C29 * E29), "")</f>
        <v/>
      </c>
      <c r="G29" s="36"/>
      <c r="H29" s="36"/>
      <c r="I29" s="13" t="str">
        <f>IFERROR((F29 - F29 * (VLOOKUP(G29, Lookup!$I$2:$J$10, 2, FALSE) + VLOOKUP(H29, Lookup!$L$2:$M$7, 2, FALSE))) * $C$22, "Check Inputs")</f>
        <v>Check Inputs</v>
      </c>
      <c r="J29" s="60"/>
      <c r="K29" s="1"/>
    </row>
    <row r="31" spans="2:14" x14ac:dyDescent="0.25">
      <c r="B31" s="46" t="s">
        <v>168</v>
      </c>
    </row>
    <row r="32" spans="2:14" ht="136.15" customHeight="1" x14ac:dyDescent="0.25">
      <c r="B32" s="111"/>
      <c r="C32" s="111"/>
      <c r="D32" s="111"/>
      <c r="E32" s="111"/>
      <c r="F32" s="111"/>
      <c r="G32" s="111"/>
      <c r="H32" s="111"/>
      <c r="I32" s="111"/>
      <c r="J32" s="94"/>
      <c r="K32" s="95"/>
    </row>
    <row r="33" spans="2:11" x14ac:dyDescent="0.25">
      <c r="B33" s="96"/>
      <c r="C33" s="96"/>
      <c r="D33" s="96"/>
      <c r="E33" s="96"/>
      <c r="F33" s="96"/>
      <c r="G33" s="96"/>
      <c r="H33" s="96"/>
      <c r="I33" s="96"/>
      <c r="J33" s="95"/>
      <c r="K33" s="97"/>
    </row>
    <row r="34" spans="2:11" x14ac:dyDescent="0.25">
      <c r="B34" s="96"/>
      <c r="C34" s="96"/>
      <c r="D34" s="96"/>
      <c r="E34" s="96"/>
      <c r="F34" s="96"/>
      <c r="G34" s="96"/>
      <c r="H34" s="96"/>
      <c r="I34" s="96"/>
      <c r="J34" s="95"/>
      <c r="K34" s="97"/>
    </row>
    <row r="35" spans="2:11" x14ac:dyDescent="0.25">
      <c r="B35" s="96"/>
      <c r="C35" s="96"/>
      <c r="D35" s="96"/>
      <c r="E35" s="96"/>
      <c r="F35" s="96"/>
      <c r="G35" s="96"/>
      <c r="H35" s="96"/>
      <c r="I35" s="96"/>
      <c r="J35" s="95"/>
      <c r="K35" s="97"/>
    </row>
    <row r="36" spans="2:11" x14ac:dyDescent="0.25">
      <c r="B36" s="96"/>
      <c r="C36" s="96"/>
      <c r="D36" s="96"/>
      <c r="E36" s="96"/>
      <c r="F36" s="96"/>
      <c r="G36" s="96"/>
      <c r="H36" s="96"/>
      <c r="I36" s="96"/>
      <c r="J36" s="95"/>
      <c r="K36" s="97"/>
    </row>
    <row r="37" spans="2:11" x14ac:dyDescent="0.25">
      <c r="B37" s="96"/>
      <c r="C37" s="96"/>
      <c r="D37" s="96"/>
      <c r="E37" s="96"/>
      <c r="F37" s="96"/>
      <c r="G37" s="96"/>
      <c r="H37" s="96"/>
      <c r="I37" s="96"/>
      <c r="J37" s="95"/>
      <c r="K37" s="97"/>
    </row>
    <row r="38" spans="2:11" x14ac:dyDescent="0.25">
      <c r="B38" s="96"/>
      <c r="C38" s="96"/>
      <c r="D38" s="96"/>
      <c r="E38" s="96"/>
      <c r="F38" s="96"/>
      <c r="G38" s="96"/>
      <c r="H38" s="96"/>
      <c r="I38" s="96"/>
      <c r="J38" s="95"/>
      <c r="K38" s="97"/>
    </row>
    <row r="39" spans="2:11" x14ac:dyDescent="0.25">
      <c r="B39" s="96"/>
      <c r="C39" s="96"/>
      <c r="D39" s="96"/>
      <c r="E39" s="96"/>
      <c r="F39" s="96"/>
      <c r="G39" s="96"/>
      <c r="H39" s="96"/>
      <c r="I39" s="96"/>
      <c r="J39" s="95"/>
      <c r="K39" s="97"/>
    </row>
    <row r="40" spans="2:11" x14ac:dyDescent="0.25">
      <c r="B40" s="96"/>
      <c r="C40" s="96"/>
      <c r="D40" s="96"/>
      <c r="E40" s="96"/>
      <c r="F40" s="96"/>
      <c r="G40" s="96"/>
      <c r="H40" s="96"/>
      <c r="I40" s="96"/>
      <c r="J40" s="95"/>
      <c r="K40" s="97"/>
    </row>
  </sheetData>
  <sheetProtection algorithmName="SHA-512" hashValue="isQJ4OD7tRELjTsrQLobjOSd8zWfZJ9blAp8ZNyi5i0x3bxaSUDoMjYpyB4lTmr5+YPtX0gwuDYNpeTTFj4BZw==" saltValue="Y26srMvAjB5BB5qRR4x9sg==" spinCount="100000" sheet="1" selectLockedCells="1"/>
  <customSheetViews>
    <customSheetView guid="{15EC6CF7-CE45-48CB-B686-A1BB5EA0E178}" scale="90" showPageBreaks="1" fitToPage="1" printArea="1" showRuler="0" topLeftCell="A18">
      <selection activeCell="O1" sqref="A1:O45"/>
      <pageMargins left="0.25" right="0.17" top="0.25" bottom="0.25" header="0.3" footer="0.3"/>
      <printOptions horizontalCentered="1" verticalCentered="1"/>
      <pageSetup scale="41" orientation="landscape" r:id="rId1"/>
    </customSheetView>
  </customSheetViews>
  <mergeCells count="9">
    <mergeCell ref="K24:L24"/>
    <mergeCell ref="B1:C1"/>
    <mergeCell ref="C3:E3"/>
    <mergeCell ref="C5:E5"/>
    <mergeCell ref="H3:I3"/>
    <mergeCell ref="B32:I32"/>
    <mergeCell ref="D1:I1"/>
    <mergeCell ref="B9:I9"/>
    <mergeCell ref="B8:J8"/>
  </mergeCells>
  <conditionalFormatting sqref="H17:I17">
    <cfRule type="expression" dxfId="5" priority="4">
      <formula>#REF!="Custom"</formula>
    </cfRule>
  </conditionalFormatting>
  <conditionalFormatting sqref="I17">
    <cfRule type="expression" dxfId="4" priority="18">
      <formula>AND(#REF!="Custom", $I$17&gt;=1)</formula>
    </cfRule>
    <cfRule type="expression" dxfId="3" priority="19">
      <formula>AND(#REF!="Custom", $I$17&lt;1)</formula>
    </cfRule>
  </conditionalFormatting>
  <conditionalFormatting sqref="H14">
    <cfRule type="expression" dxfId="2" priority="20">
      <formula>#REF!=#REF!</formula>
    </cfRule>
  </conditionalFormatting>
  <conditionalFormatting sqref="G25:G29">
    <cfRule type="expression" dxfId="1" priority="21">
      <formula>#REF!=#REF!</formula>
    </cfRule>
  </conditionalFormatting>
  <conditionalFormatting sqref="H19">
    <cfRule type="expression" dxfId="0" priority="1">
      <formula>#REF!=#REF!</formula>
    </cfRule>
  </conditionalFormatting>
  <dataValidations count="7">
    <dataValidation type="decimal" allowBlank="1" showInputMessage="1" showErrorMessage="1" errorTitle="Invalid Input" error="Allowed values: Numbers between 0 and 100" prompt="Use to account for factors that would limit the system's heating performance (i.e. shading)._x000a__x000a_100% : No Adjustment." sqref="C22" xr:uid="{00000000-0002-0000-0000-000000000000}">
      <formula1>0</formula1>
      <formula2>1</formula2>
    </dataValidation>
    <dataValidation type="decimal" allowBlank="1" showInputMessage="1" showErrorMessage="1" errorTitle="Invalid Input" error="Allowed values: Numbers between 0 and 100" prompt="The percent of time the electric heating element or heat pump is generating hot water in the 4 hours between 5 and 9 PM._x000a__x000a_A higher % figure = higher peak demand reduction since the backup heating device is working more during the peak period." sqref="C18" xr:uid="{00000000-0002-0000-0000-000001000000}">
      <formula1>0</formula1>
      <formula2>1</formula2>
    </dataValidation>
    <dataValidation allowBlank="1" showInputMessage="1" showErrorMessage="1" prompt="The annual energy consumed by the solar water heater's pumping system." sqref="C21" xr:uid="{00000000-0002-0000-0000-000002000000}"/>
    <dataValidation allowBlank="1" showInputMessage="1" showErrorMessage="1" prompt="Cost of alternate water heating system (i.e. electric resistance)." sqref="I12" xr:uid="{00000000-0002-0000-0000-000003000000}"/>
    <dataValidation type="decimal" operator="greaterThan" allowBlank="1" showInputMessage="1" showErrorMessage="1" errorTitle="Invalid Input" error="Allowed values: Numbers greater than 0" prompt="Total wattage from all SWH pumps." sqref="C20" xr:uid="{00000000-0002-0000-0000-000004000000}">
      <formula1>0</formula1>
    </dataValidation>
    <dataValidation type="decimal" operator="greaterThan" allowBlank="1" showInputMessage="1" showErrorMessage="1" errorTitle="Invalid Input" error="Allowed values: Numbers greater than 12" sqref="C16" xr:uid="{1B07AB14-DAA9-4718-9C85-9A22879DEDA9}">
      <formula1>12</formula1>
    </dataValidation>
    <dataValidation type="decimal" operator="greaterThan" allowBlank="1" showInputMessage="1" showErrorMessage="1" errorTitle="Invalid Input" error="Allowed values: Numbers greater than 0" sqref="C17" xr:uid="{883CCD4B-EF3F-4798-9AE4-2C900D6EBD31}">
      <formula1>0</formula1>
    </dataValidation>
  </dataValidations>
  <printOptions horizontalCentered="1" verticalCentered="1"/>
  <pageMargins left="0.25" right="0.17" top="0.25" bottom="0.25" header="0.3" footer="0.3"/>
  <pageSetup scale="8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7000000}">
          <x14:formula1>
            <xm:f>Lookup!$D$2:$D$12</xm:f>
          </x14:formula1>
          <xm:sqref>C13</xm:sqref>
        </x14:dataValidation>
        <x14:dataValidation type="list" allowBlank="1" showInputMessage="1" showErrorMessage="1" xr:uid="{00000000-0002-0000-0000-000008000000}">
          <x14:formula1>
            <xm:f>Lookup!$I$2:$I$10</xm:f>
          </x14:formula1>
          <xm:sqref>G25:G29</xm:sqref>
        </x14:dataValidation>
        <x14:dataValidation type="list" allowBlank="1" showInputMessage="1" showErrorMessage="1" xr:uid="{00000000-0002-0000-0000-000009000000}">
          <x14:formula1>
            <xm:f>Lookup!$L$2:$L$7</xm:f>
          </x14:formula1>
          <xm:sqref>H25:H29</xm:sqref>
        </x14:dataValidation>
        <x14:dataValidation type="list" allowBlank="1" showInputMessage="1" showErrorMessage="1" xr:uid="{00000000-0002-0000-0000-000005000000}">
          <x14:formula1>
            <xm:f>Lookup!$A$2:$A$4</xm:f>
          </x14:formula1>
          <xm:sqref>C15</xm:sqref>
        </x14:dataValidation>
        <x14:dataValidation type="list" allowBlank="1" showInputMessage="1" showErrorMessage="1" xr:uid="{00000000-0002-0000-0000-000006000000}">
          <x14:formula1>
            <xm:f>Lookup!$U$2:$U$6</xm:f>
          </x14:formula1>
          <xm:sqref>C11</xm:sqref>
        </x14:dataValidation>
        <x14:dataValidation type="list" allowBlank="1" showInputMessage="1" showErrorMessage="1" xr:uid="{00000000-0002-0000-0000-00000A000000}">
          <x14:formula1>
            <xm:f>Lookup!$A$8:$A$13</xm:f>
          </x14:formula1>
          <xm:sqref>C12</xm:sqref>
        </x14:dataValidation>
        <x14:dataValidation type="list" errorStyle="warning" allowBlank="1" showInputMessage="1" showErrorMessage="1" xr:uid="{00000000-0002-0000-0000-00000B000000}">
          <x14:formula1>
            <xm:f>Lookup!$A$19:$A$108</xm:f>
          </x14:formula1>
          <xm:sqref>B25:B29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3"/>
  <sheetViews>
    <sheetView workbookViewId="0"/>
  </sheetViews>
  <sheetFormatPr defaultColWidth="9.140625" defaultRowHeight="15" x14ac:dyDescent="0.25"/>
  <cols>
    <col min="1" max="1" width="26.7109375" style="32" bestFit="1" customWidth="1"/>
    <col min="2" max="2" width="17.28515625" style="32" bestFit="1" customWidth="1"/>
    <col min="3" max="3" width="9.140625" style="32" customWidth="1"/>
    <col min="4" max="4" width="16.7109375" style="32" bestFit="1" customWidth="1"/>
    <col min="5" max="5" width="11.85546875" style="32" bestFit="1" customWidth="1"/>
    <col min="6" max="6" width="10" style="32" bestFit="1" customWidth="1"/>
    <col min="7" max="7" width="6.5703125" style="32" bestFit="1" customWidth="1"/>
    <col min="8" max="8" width="9.140625" style="32"/>
    <col min="9" max="9" width="20" style="32" bestFit="1" customWidth="1"/>
    <col min="10" max="10" width="18.85546875" style="32" customWidth="1"/>
    <col min="11" max="11" width="9.140625" style="32"/>
    <col min="12" max="12" width="12.28515625" style="32" bestFit="1" customWidth="1"/>
    <col min="13" max="13" width="10.42578125" style="32" bestFit="1" customWidth="1"/>
    <col min="14" max="14" width="9.140625" style="32"/>
    <col min="15" max="15" width="15.140625" style="32" bestFit="1" customWidth="1"/>
    <col min="16" max="18" width="9.140625" style="32"/>
    <col min="19" max="19" width="13.28515625" style="32" bestFit="1" customWidth="1"/>
    <col min="20" max="16384" width="9.140625" style="32"/>
  </cols>
  <sheetData>
    <row r="1" spans="1:22" x14ac:dyDescent="0.25">
      <c r="A1" s="15" t="s">
        <v>49</v>
      </c>
      <c r="B1" s="47" t="s">
        <v>47</v>
      </c>
      <c r="C1" s="1"/>
      <c r="D1" s="3" t="s">
        <v>8</v>
      </c>
      <c r="E1" s="2" t="s">
        <v>25</v>
      </c>
      <c r="F1" s="2" t="s">
        <v>22</v>
      </c>
      <c r="G1" s="2" t="s">
        <v>23</v>
      </c>
      <c r="H1" s="1"/>
      <c r="I1" s="2" t="s">
        <v>7</v>
      </c>
      <c r="J1" s="2" t="s">
        <v>0</v>
      </c>
      <c r="K1" s="1"/>
      <c r="L1" s="2" t="s">
        <v>1</v>
      </c>
      <c r="M1" s="2" t="s">
        <v>0</v>
      </c>
      <c r="O1" s="115" t="s">
        <v>72</v>
      </c>
      <c r="P1" s="115"/>
      <c r="Q1" s="115"/>
      <c r="R1" s="115"/>
      <c r="S1" s="115"/>
      <c r="U1" s="2" t="s">
        <v>64</v>
      </c>
      <c r="V1" s="2"/>
    </row>
    <row r="2" spans="1:22" x14ac:dyDescent="0.25">
      <c r="A2" s="5" t="s">
        <v>45</v>
      </c>
      <c r="B2" s="14">
        <v>0.9</v>
      </c>
      <c r="C2" s="1"/>
      <c r="D2" s="5" t="s">
        <v>21</v>
      </c>
      <c r="E2" s="6">
        <v>9.7799999999999994</v>
      </c>
      <c r="F2" s="7">
        <v>2322</v>
      </c>
      <c r="G2" s="8">
        <v>0.28999999999999998</v>
      </c>
      <c r="H2" s="1"/>
      <c r="I2" s="14" t="s">
        <v>26</v>
      </c>
      <c r="J2" s="9">
        <v>0.25</v>
      </c>
      <c r="K2" s="1"/>
      <c r="L2" s="14" t="s">
        <v>35</v>
      </c>
      <c r="M2" s="9">
        <v>0</v>
      </c>
      <c r="O2" s="116"/>
      <c r="P2" s="116"/>
      <c r="Q2" s="116"/>
      <c r="R2" s="25">
        <v>0.06</v>
      </c>
      <c r="S2" s="26" t="s">
        <v>60</v>
      </c>
      <c r="U2" s="5" t="s">
        <v>10</v>
      </c>
      <c r="V2" s="33">
        <v>5.9799999999999999E-2</v>
      </c>
    </row>
    <row r="3" spans="1:22" x14ac:dyDescent="0.25">
      <c r="A3" s="5" t="s">
        <v>46</v>
      </c>
      <c r="B3" s="14">
        <v>3.5</v>
      </c>
      <c r="C3" s="1"/>
      <c r="D3" s="5" t="s">
        <v>14</v>
      </c>
      <c r="E3" s="6">
        <v>0.23</v>
      </c>
      <c r="F3" s="7" t="s">
        <v>24</v>
      </c>
      <c r="G3" s="8" t="s">
        <v>24</v>
      </c>
      <c r="H3" s="1"/>
      <c r="I3" s="14" t="s">
        <v>27</v>
      </c>
      <c r="J3" s="9">
        <v>0.15</v>
      </c>
      <c r="K3" s="1"/>
      <c r="L3" s="14" t="s">
        <v>36</v>
      </c>
      <c r="M3" s="9">
        <v>0.05</v>
      </c>
      <c r="O3" s="27" t="s">
        <v>66</v>
      </c>
      <c r="P3" s="28" t="s">
        <v>61</v>
      </c>
      <c r="Q3" s="29" t="s">
        <v>62</v>
      </c>
      <c r="R3" s="29" t="s">
        <v>63</v>
      </c>
      <c r="S3" s="30" t="s">
        <v>65</v>
      </c>
      <c r="U3" s="5" t="s">
        <v>12</v>
      </c>
      <c r="V3" s="33">
        <v>4.514E-2</v>
      </c>
    </row>
    <row r="4" spans="1:22" x14ac:dyDescent="0.25">
      <c r="A4" s="5" t="s">
        <v>48</v>
      </c>
      <c r="B4" s="14">
        <v>0.9</v>
      </c>
      <c r="C4" s="1"/>
      <c r="D4" s="5" t="s">
        <v>15</v>
      </c>
      <c r="E4" s="6">
        <v>7.58</v>
      </c>
      <c r="F4" s="7">
        <v>1916</v>
      </c>
      <c r="G4" s="8">
        <v>0.25</v>
      </c>
      <c r="H4" s="1"/>
      <c r="I4" s="14" t="s">
        <v>28</v>
      </c>
      <c r="J4" s="9">
        <v>0.1</v>
      </c>
      <c r="K4" s="1"/>
      <c r="L4" s="14" t="s">
        <v>37</v>
      </c>
      <c r="M4" s="9">
        <v>0.1</v>
      </c>
      <c r="O4" s="23">
        <v>1</v>
      </c>
      <c r="P4" s="23">
        <v>2023</v>
      </c>
      <c r="Q4" s="34">
        <v>218</v>
      </c>
      <c r="R4" s="35">
        <v>0.11700000000000001</v>
      </c>
      <c r="S4" s="24" t="str">
        <f>IFERROR(('Input Rating &gt; 12 kW'!$N$15*Q4)+('Input Rating &gt; 12 kW'!$L$15*R4)/(1+$R$2)^(O4-1), "-")</f>
        <v>-</v>
      </c>
      <c r="U4" s="5" t="s">
        <v>3</v>
      </c>
      <c r="V4" s="33">
        <v>4.8559999999999992E-2</v>
      </c>
    </row>
    <row r="5" spans="1:22" x14ac:dyDescent="0.25">
      <c r="A5" s="1"/>
      <c r="B5" s="1"/>
      <c r="C5" s="1"/>
      <c r="D5" s="5" t="s">
        <v>16</v>
      </c>
      <c r="E5" s="6">
        <v>10.6</v>
      </c>
      <c r="F5" s="7">
        <v>4406</v>
      </c>
      <c r="G5" s="8">
        <v>0.6</v>
      </c>
      <c r="H5" s="1"/>
      <c r="I5" s="14" t="s">
        <v>29</v>
      </c>
      <c r="J5" s="9">
        <v>0.05</v>
      </c>
      <c r="K5" s="1"/>
      <c r="L5" s="14" t="s">
        <v>38</v>
      </c>
      <c r="M5" s="9">
        <v>0.15</v>
      </c>
      <c r="O5" s="23">
        <v>2</v>
      </c>
      <c r="P5" s="23">
        <v>2024</v>
      </c>
      <c r="Q5" s="34">
        <v>205.66037735849056</v>
      </c>
      <c r="R5" s="35">
        <v>0.1141509433962264</v>
      </c>
      <c r="S5" s="24" t="str">
        <f>IFERROR(('Input Rating &gt; 12 kW'!$N$15*Q5)+('Input Rating &gt; 12 kW'!$L$15*R5)/(1+$R$2)^(O5-1), "-")</f>
        <v>-</v>
      </c>
      <c r="U5" s="5" t="s">
        <v>13</v>
      </c>
      <c r="V5" s="33">
        <v>8.5100000000000009E-2</v>
      </c>
    </row>
    <row r="6" spans="1:22" x14ac:dyDescent="0.25">
      <c r="A6" s="2" t="s">
        <v>43</v>
      </c>
      <c r="B6" s="1"/>
      <c r="C6" s="1"/>
      <c r="D6" s="5" t="s">
        <v>17</v>
      </c>
      <c r="E6" s="6">
        <v>22.7</v>
      </c>
      <c r="F6" s="7">
        <v>2247</v>
      </c>
      <c r="G6" s="8">
        <v>0.2</v>
      </c>
      <c r="H6" s="1"/>
      <c r="I6" s="14" t="s">
        <v>30</v>
      </c>
      <c r="J6" s="9">
        <v>0</v>
      </c>
      <c r="K6" s="1"/>
      <c r="L6" s="14" t="s">
        <v>39</v>
      </c>
      <c r="M6" s="9">
        <v>0.2</v>
      </c>
      <c r="O6" s="23">
        <v>3</v>
      </c>
      <c r="P6" s="23">
        <v>2025</v>
      </c>
      <c r="Q6" s="34">
        <v>194.01922392310428</v>
      </c>
      <c r="R6" s="35">
        <v>0.11124955500177998</v>
      </c>
      <c r="S6" s="24" t="str">
        <f>IFERROR(('Input Rating &gt; 12 kW'!$N$15*Q6)+('Input Rating &gt; 12 kW'!$L$15*R6)/(1+$R$2)^(O6-1), "-")</f>
        <v>-</v>
      </c>
      <c r="U6" s="5" t="s">
        <v>11</v>
      </c>
      <c r="V6" s="33">
        <v>3.952E-2</v>
      </c>
    </row>
    <row r="7" spans="1:22" x14ac:dyDescent="0.25">
      <c r="A7" s="14">
        <v>300</v>
      </c>
      <c r="B7" s="1"/>
      <c r="C7" s="1"/>
      <c r="D7" s="5" t="s">
        <v>18</v>
      </c>
      <c r="E7" s="6">
        <v>12.61</v>
      </c>
      <c r="F7" s="7">
        <v>3008</v>
      </c>
      <c r="G7" s="8">
        <v>0.35</v>
      </c>
      <c r="H7" s="1"/>
      <c r="I7" s="14" t="s">
        <v>31</v>
      </c>
      <c r="J7" s="9">
        <v>0.05</v>
      </c>
      <c r="K7" s="1"/>
      <c r="L7" s="14" t="s">
        <v>40</v>
      </c>
      <c r="M7" s="9">
        <v>0.25</v>
      </c>
      <c r="O7" s="23">
        <v>4</v>
      </c>
      <c r="P7" s="23">
        <v>2026</v>
      </c>
      <c r="Q7" s="34">
        <v>183.03700370104175</v>
      </c>
      <c r="R7" s="35">
        <v>0.10831088751116691</v>
      </c>
      <c r="S7" s="24" t="str">
        <f>IFERROR(('Input Rating &gt; 12 kW'!$N$15*Q7)+('Input Rating &gt; 12 kW'!$L$15*R7)/(1+$R$2)^(O7-1), "-")</f>
        <v>-</v>
      </c>
    </row>
    <row r="8" spans="1:22" x14ac:dyDescent="0.25">
      <c r="A8" s="14">
        <v>350</v>
      </c>
      <c r="C8" s="1"/>
      <c r="D8" s="5" t="s">
        <v>19</v>
      </c>
      <c r="E8" s="6">
        <v>2.83</v>
      </c>
      <c r="F8" s="7" t="s">
        <v>24</v>
      </c>
      <c r="G8" s="8" t="s">
        <v>24</v>
      </c>
      <c r="H8" s="1"/>
      <c r="I8" s="14" t="s">
        <v>32</v>
      </c>
      <c r="J8" s="9">
        <v>0.1</v>
      </c>
      <c r="K8" s="1"/>
      <c r="L8" s="1"/>
      <c r="M8" s="1"/>
      <c r="O8" s="23">
        <v>5</v>
      </c>
      <c r="P8" s="23">
        <v>2027</v>
      </c>
      <c r="Q8" s="34">
        <v>172.67641858588846</v>
      </c>
      <c r="R8" s="35">
        <v>0.10534845721065672</v>
      </c>
      <c r="S8" s="24" t="str">
        <f>IFERROR(('Input Rating &gt; 12 kW'!$N$15*Q8)+('Input Rating &gt; 12 kW'!$L$15*R8)/(1+$R$2)^(O8-1), "-")</f>
        <v>-</v>
      </c>
    </row>
    <row r="9" spans="1:22" x14ac:dyDescent="0.25">
      <c r="A9" s="14">
        <v>400</v>
      </c>
      <c r="C9" s="1"/>
      <c r="D9" s="5" t="s">
        <v>20</v>
      </c>
      <c r="E9" s="6">
        <v>2.0699999999999998</v>
      </c>
      <c r="F9" s="7">
        <v>2632</v>
      </c>
      <c r="G9" s="8">
        <v>0.3</v>
      </c>
      <c r="H9" s="1"/>
      <c r="I9" s="14" t="s">
        <v>33</v>
      </c>
      <c r="J9" s="9">
        <v>0.15</v>
      </c>
      <c r="K9" s="1"/>
      <c r="L9" s="1"/>
      <c r="M9" s="1"/>
      <c r="O9" s="23">
        <v>6</v>
      </c>
      <c r="P9" s="23">
        <v>2028</v>
      </c>
      <c r="Q9" s="34">
        <v>162.90228168480041</v>
      </c>
      <c r="R9" s="35">
        <v>0.1023743696826498</v>
      </c>
      <c r="S9" s="24" t="str">
        <f>IFERROR(('Input Rating &gt; 12 kW'!$N$15*Q9)+('Input Rating &gt; 12 kW'!$L$15*R9)/(1+$R$2)^(O9-1), "-")</f>
        <v>-</v>
      </c>
    </row>
    <row r="10" spans="1:22" x14ac:dyDescent="0.25">
      <c r="A10" s="14">
        <v>450</v>
      </c>
      <c r="C10" s="1"/>
      <c r="D10" s="5" t="s">
        <v>6</v>
      </c>
      <c r="E10" s="6">
        <v>74.91</v>
      </c>
      <c r="F10" s="7">
        <v>3947</v>
      </c>
      <c r="G10" s="8">
        <v>0.74</v>
      </c>
      <c r="H10" s="1"/>
      <c r="I10" s="14" t="s">
        <v>34</v>
      </c>
      <c r="J10" s="9">
        <v>0.2</v>
      </c>
      <c r="K10" s="1"/>
      <c r="L10" s="1"/>
      <c r="M10" s="1"/>
      <c r="O10" s="23">
        <v>7</v>
      </c>
      <c r="P10" s="23">
        <v>2029</v>
      </c>
      <c r="Q10" s="34">
        <v>153.68139781584944</v>
      </c>
      <c r="R10" s="35">
        <v>9.9399436201994346E-2</v>
      </c>
      <c r="S10" s="24" t="str">
        <f>IFERROR(('Input Rating &gt; 12 kW'!$N$15*Q10)+('Input Rating &gt; 12 kW'!$L$15*R10)/(1+$R$2)^(O10-1), "-")</f>
        <v>-</v>
      </c>
    </row>
    <row r="11" spans="1:22" x14ac:dyDescent="0.25">
      <c r="A11" s="42" t="s">
        <v>75</v>
      </c>
      <c r="C11" s="1"/>
      <c r="D11" s="5" t="s">
        <v>5</v>
      </c>
      <c r="E11" s="6">
        <v>1.49</v>
      </c>
      <c r="F11" s="7" t="s">
        <v>24</v>
      </c>
      <c r="G11" s="8" t="s">
        <v>24</v>
      </c>
      <c r="H11" s="1"/>
      <c r="I11" s="1"/>
      <c r="J11" s="1"/>
      <c r="K11" s="1"/>
      <c r="L11" s="1"/>
      <c r="M11" s="1"/>
      <c r="O11" s="23">
        <v>8</v>
      </c>
      <c r="P11" s="23">
        <v>2030</v>
      </c>
      <c r="Q11" s="34">
        <v>144.98245076966924</v>
      </c>
      <c r="R11" s="35">
        <v>9.6433281475238719E-2</v>
      </c>
      <c r="S11" s="24" t="str">
        <f>IFERROR(('Input Rating &gt; 12 kW'!$N$15*Q11)+('Input Rating &gt; 12 kW'!$L$15*R11)/(1+$R$2)^(O11-1), "-")</f>
        <v>-</v>
      </c>
    </row>
    <row r="12" spans="1:22" x14ac:dyDescent="0.25">
      <c r="A12" s="14">
        <v>500</v>
      </c>
      <c r="C12" s="1"/>
      <c r="D12" s="5" t="s">
        <v>4</v>
      </c>
      <c r="E12" s="6">
        <v>0.23</v>
      </c>
      <c r="F12" s="7" t="s">
        <v>24</v>
      </c>
      <c r="G12" s="8" t="s">
        <v>24</v>
      </c>
      <c r="H12" s="1"/>
      <c r="I12" s="15" t="s">
        <v>193</v>
      </c>
      <c r="J12" s="47" t="s">
        <v>190</v>
      </c>
      <c r="K12" s="1"/>
      <c r="L12" s="1"/>
      <c r="M12" s="1"/>
      <c r="O12" s="23">
        <v>9</v>
      </c>
      <c r="P12" s="23">
        <v>2031</v>
      </c>
      <c r="Q12" s="34">
        <v>136.77589695251817</v>
      </c>
      <c r="R12" s="35">
        <v>9.3484443329932138E-2</v>
      </c>
      <c r="S12" s="24" t="str">
        <f>IFERROR(('Input Rating &gt; 12 kW'!$N$15*Q12)+('Input Rating &gt; 12 kW'!$L$15*R12)/(1+$R$2)^(O12-1), "-")</f>
        <v>-</v>
      </c>
    </row>
    <row r="13" spans="1:22" x14ac:dyDescent="0.25">
      <c r="A13" s="14" t="s">
        <v>74</v>
      </c>
      <c r="B13" s="1"/>
      <c r="C13" s="1"/>
      <c r="D13" s="1"/>
      <c r="E13" s="1"/>
      <c r="F13" s="1"/>
      <c r="G13" s="1"/>
      <c r="H13" s="1"/>
      <c r="I13" s="5" t="s">
        <v>50</v>
      </c>
      <c r="J13" s="67">
        <v>1000</v>
      </c>
      <c r="K13" s="1"/>
      <c r="L13" s="1"/>
      <c r="M13" s="1"/>
      <c r="O13" s="23">
        <v>10</v>
      </c>
      <c r="P13" s="23">
        <v>2032</v>
      </c>
      <c r="Q13" s="34">
        <v>129.03386504954545</v>
      </c>
      <c r="R13" s="35">
        <v>9.0560464920093828E-2</v>
      </c>
      <c r="S13" s="24" t="str">
        <f>IFERROR(('Input Rating &gt; 12 kW'!$N$15*Q13)+('Input Rating &gt; 12 kW'!$L$15*R13)/(1+$R$2)^(O13-1), "-")</f>
        <v>-</v>
      </c>
    </row>
    <row r="14" spans="1:22" x14ac:dyDescent="0.25">
      <c r="B14" s="1"/>
      <c r="C14" s="1"/>
      <c r="D14" s="91"/>
      <c r="E14" s="11"/>
      <c r="F14" s="11"/>
      <c r="G14" s="11"/>
      <c r="H14" s="1"/>
      <c r="I14" s="5" t="s">
        <v>191</v>
      </c>
      <c r="J14" s="62">
        <v>125</v>
      </c>
      <c r="K14" s="1"/>
      <c r="L14" s="1"/>
      <c r="M14" s="1"/>
      <c r="O14" s="23">
        <v>11</v>
      </c>
      <c r="P14" s="23">
        <v>2033</v>
      </c>
      <c r="Q14" s="34">
        <v>121.73006136749569</v>
      </c>
      <c r="R14" s="35">
        <v>8.8226374752588627E-2</v>
      </c>
      <c r="S14" s="24" t="str">
        <f>IFERROR(('Input Rating &gt; 12 kW'!$N$15*Q14)+('Input Rating &gt; 12 kW'!$L$15*R14)/(1+$R$2)^(O14-1), "-")</f>
        <v>-</v>
      </c>
    </row>
    <row r="15" spans="1:22" x14ac:dyDescent="0.25">
      <c r="A15" s="2" t="s">
        <v>44</v>
      </c>
      <c r="C15" s="1"/>
      <c r="D15" s="11"/>
      <c r="E15" s="51"/>
      <c r="F15" s="11"/>
      <c r="G15" s="11"/>
      <c r="H15" s="1"/>
      <c r="I15" s="5" t="s">
        <v>192</v>
      </c>
      <c r="J15" s="62">
        <v>0.12</v>
      </c>
      <c r="K15" s="1"/>
      <c r="L15" s="1"/>
      <c r="M15" s="1"/>
      <c r="O15" s="23">
        <v>12</v>
      </c>
      <c r="P15" s="23">
        <v>2034</v>
      </c>
      <c r="Q15" s="34">
        <v>114.83968053537328</v>
      </c>
      <c r="R15" s="35">
        <v>8.5866366638834152E-2</v>
      </c>
      <c r="S15" s="24" t="str">
        <f>IFERROR(('Input Rating &gt; 12 kW'!$N$15*Q15)+('Input Rating &gt; 12 kW'!$L$15*R15)/(1+$R$2)^(O15-1), "-")</f>
        <v>-</v>
      </c>
    </row>
    <row r="16" spans="1:22" x14ac:dyDescent="0.25">
      <c r="A16" s="14">
        <v>3412</v>
      </c>
      <c r="C16" s="1"/>
      <c r="D16" s="11"/>
      <c r="E16" s="51"/>
      <c r="F16" s="11"/>
      <c r="G16" s="11"/>
      <c r="H16" s="1"/>
      <c r="I16" s="1"/>
      <c r="J16" s="1"/>
      <c r="K16" s="1"/>
      <c r="L16" s="1"/>
      <c r="M16" s="1"/>
      <c r="O16" s="23">
        <v>13</v>
      </c>
      <c r="P16" s="23">
        <v>2035</v>
      </c>
      <c r="Q16" s="34">
        <v>108.3393212597861</v>
      </c>
      <c r="R16" s="35">
        <v>8.3490853080936095E-2</v>
      </c>
      <c r="S16" s="24" t="str">
        <f>IFERROR(('Input Rating &gt; 12 kW'!$N$15*Q16)+('Input Rating &gt; 12 kW'!$L$15*R16)/(1+$R$2)^(O16-1), "-")</f>
        <v>-</v>
      </c>
    </row>
    <row r="17" spans="1:19" x14ac:dyDescent="0.25">
      <c r="C17" s="1"/>
      <c r="D17" s="11"/>
      <c r="E17" s="51"/>
      <c r="F17" s="11"/>
      <c r="G17" s="11"/>
      <c r="H17" s="1"/>
      <c r="I17" s="1"/>
      <c r="J17" s="1"/>
      <c r="K17" s="1"/>
      <c r="L17" s="1"/>
      <c r="M17" s="1"/>
      <c r="O17" s="23">
        <v>14</v>
      </c>
      <c r="P17" s="23">
        <v>2036</v>
      </c>
      <c r="Q17" s="34">
        <v>102.20690684885481</v>
      </c>
      <c r="R17" s="35">
        <v>8.11091508479444E-2</v>
      </c>
      <c r="S17" s="24" t="str">
        <f>IFERROR(('Input Rating &gt; 12 kW'!$N$15*Q17)+('Input Rating &gt; 12 kW'!$L$15*R17)/(1+$R$2)^(O17-1), "-")</f>
        <v>-</v>
      </c>
    </row>
    <row r="18" spans="1:19" x14ac:dyDescent="0.25">
      <c r="A18" s="20" t="s">
        <v>76</v>
      </c>
      <c r="B18" s="20" t="s">
        <v>74</v>
      </c>
      <c r="C18" s="47">
        <v>500</v>
      </c>
      <c r="D18" s="20" t="s">
        <v>75</v>
      </c>
      <c r="E18" s="47">
        <v>450</v>
      </c>
      <c r="F18" s="47">
        <v>400</v>
      </c>
      <c r="G18" s="47">
        <v>350</v>
      </c>
      <c r="H18" s="1"/>
      <c r="I18" s="1"/>
      <c r="J18" s="1"/>
      <c r="K18" s="1"/>
      <c r="L18" s="1"/>
      <c r="M18" s="1"/>
      <c r="O18" s="23">
        <v>15</v>
      </c>
      <c r="P18" s="23">
        <v>2037</v>
      </c>
      <c r="Q18" s="34">
        <v>96.421610234768693</v>
      </c>
      <c r="R18" s="35">
        <v>7.8729571659581776E-2</v>
      </c>
      <c r="S18" s="24" t="str">
        <f>IFERROR(('Input Rating &gt; 12 kW'!$N$15*Q18)+('Input Rating &gt; 12 kW'!$L$15*R18)/(1+$R$2)^(O18-1), "-")</f>
        <v>-</v>
      </c>
    </row>
    <row r="19" spans="1:19" x14ac:dyDescent="0.25">
      <c r="A19" s="92" t="s">
        <v>77</v>
      </c>
      <c r="B19" s="93">
        <v>15526</v>
      </c>
      <c r="C19" s="93">
        <v>14114</v>
      </c>
      <c r="D19" s="93">
        <v>13550</v>
      </c>
      <c r="E19" s="93">
        <v>12240</v>
      </c>
      <c r="F19" s="93">
        <v>10332</v>
      </c>
      <c r="G19" s="93">
        <v>8369</v>
      </c>
      <c r="H19" s="1"/>
      <c r="I19" s="1"/>
      <c r="J19" s="1"/>
      <c r="K19" s="1"/>
      <c r="L19" s="1"/>
      <c r="M19" s="1"/>
      <c r="O19" s="23">
        <v>16</v>
      </c>
      <c r="P19" s="23">
        <v>2038</v>
      </c>
      <c r="Q19" s="34">
        <v>90.963783240347794</v>
      </c>
      <c r="R19" s="35">
        <v>7.6359506114603889E-2</v>
      </c>
      <c r="S19" s="24" t="str">
        <f>IFERROR(('Input Rating &gt; 12 kW'!$N$15*Q19)+('Input Rating &gt; 12 kW'!$L$15*R19)/(1+$R$2)^(O19-1), "-")</f>
        <v>-</v>
      </c>
    </row>
    <row r="20" spans="1:19" x14ac:dyDescent="0.25">
      <c r="A20" s="92" t="s">
        <v>78</v>
      </c>
      <c r="B20" s="93">
        <v>18976</v>
      </c>
      <c r="C20" s="93">
        <v>17251</v>
      </c>
      <c r="D20" s="93">
        <v>16561</v>
      </c>
      <c r="E20" s="93">
        <v>14945</v>
      </c>
      <c r="F20" s="93">
        <v>12595</v>
      </c>
      <c r="G20" s="93">
        <v>10229</v>
      </c>
      <c r="H20" s="1"/>
      <c r="I20" s="1"/>
      <c r="J20" s="1"/>
      <c r="K20" s="1"/>
      <c r="L20" s="1"/>
      <c r="M20" s="1"/>
      <c r="O20" s="23">
        <v>17</v>
      </c>
      <c r="P20" s="23">
        <v>2039</v>
      </c>
      <c r="Q20" s="34">
        <v>85.814889849384741</v>
      </c>
      <c r="R20" s="35">
        <v>7.4005501338001517E-2</v>
      </c>
      <c r="S20" s="24" t="str">
        <f>IFERROR(('Input Rating &gt; 12 kW'!$N$15*Q20)+('Input Rating &gt; 12 kW'!$L$15*R20)/(1+$R$2)^(O20-1), "-")</f>
        <v>-</v>
      </c>
    </row>
    <row r="21" spans="1:19" x14ac:dyDescent="0.25">
      <c r="A21" s="92" t="s">
        <v>79</v>
      </c>
      <c r="B21" s="93">
        <v>18342</v>
      </c>
      <c r="C21" s="93">
        <v>16202</v>
      </c>
      <c r="D21" s="93">
        <v>15346</v>
      </c>
      <c r="E21" s="93">
        <v>14062</v>
      </c>
      <c r="F21" s="93">
        <v>11922</v>
      </c>
      <c r="G21" s="93">
        <v>9781</v>
      </c>
      <c r="H21" s="1"/>
      <c r="I21" s="1"/>
      <c r="J21" s="1"/>
      <c r="K21" s="1"/>
      <c r="L21" s="1"/>
      <c r="M21" s="1"/>
      <c r="O21" s="23">
        <v>18</v>
      </c>
      <c r="P21" s="23">
        <v>2040</v>
      </c>
      <c r="Q21" s="34">
        <v>80.957443254136535</v>
      </c>
      <c r="R21" s="35">
        <v>7.204469720780958E-2</v>
      </c>
      <c r="S21" s="24" t="str">
        <f>IFERROR(('Input Rating &gt; 12 kW'!$N$15*Q21)+('Input Rating &gt; 12 kW'!$L$15*R21)/(1+$R$2)^(O21-1), "-")</f>
        <v>-</v>
      </c>
    </row>
    <row r="22" spans="1:19" x14ac:dyDescent="0.25">
      <c r="A22" s="92" t="s">
        <v>80</v>
      </c>
      <c r="B22" s="93">
        <v>12348</v>
      </c>
      <c r="C22" s="93">
        <v>10171</v>
      </c>
      <c r="D22" s="93">
        <v>9300</v>
      </c>
      <c r="E22" s="93">
        <v>7994</v>
      </c>
      <c r="F22" s="93">
        <v>5817</v>
      </c>
      <c r="G22" s="93">
        <v>3640</v>
      </c>
      <c r="H22" s="1"/>
      <c r="I22" s="1"/>
      <c r="J22" s="1"/>
      <c r="K22" s="1"/>
      <c r="L22" s="1"/>
      <c r="M22" s="1"/>
      <c r="O22" s="23">
        <v>19</v>
      </c>
      <c r="P22" s="23">
        <v>2041</v>
      </c>
      <c r="Q22" s="34">
        <v>76.374946466166548</v>
      </c>
      <c r="R22" s="35">
        <v>7.0068758225840869E-2</v>
      </c>
      <c r="S22" s="24" t="str">
        <f>IFERROR(('Input Rating &gt; 12 kW'!$N$15*Q22)+('Input Rating &gt; 12 kW'!$L$15*R22)/(1+$R$2)^(O22-1), "-")</f>
        <v>-</v>
      </c>
    </row>
    <row r="23" spans="1:19" x14ac:dyDescent="0.25">
      <c r="A23" s="92" t="s">
        <v>81</v>
      </c>
      <c r="B23" s="93">
        <v>21919</v>
      </c>
      <c r="C23" s="93">
        <v>19926</v>
      </c>
      <c r="D23" s="93">
        <v>19129</v>
      </c>
      <c r="E23" s="93">
        <v>17032</v>
      </c>
      <c r="F23" s="93">
        <v>14071</v>
      </c>
      <c r="G23" s="93">
        <v>11055</v>
      </c>
      <c r="H23" s="1"/>
      <c r="K23" s="1"/>
      <c r="O23" s="23">
        <v>20</v>
      </c>
      <c r="P23" s="23">
        <v>2042</v>
      </c>
      <c r="Q23" s="34">
        <v>72.051836288836355</v>
      </c>
      <c r="R23" s="35">
        <v>6.8085680162845358E-2</v>
      </c>
      <c r="S23" s="24" t="str">
        <f>IFERROR(('Input Rating &gt; 12 kW'!$N$15*Q23)+('Input Rating &gt; 12 kW'!$L$15*R23)/(1+$R$2)^(O23-1), "-")</f>
        <v>-</v>
      </c>
    </row>
    <row r="24" spans="1:19" x14ac:dyDescent="0.25">
      <c r="A24" s="92" t="s">
        <v>82</v>
      </c>
      <c r="B24" s="93">
        <v>16743</v>
      </c>
      <c r="C24" s="93">
        <v>15221</v>
      </c>
      <c r="D24" s="93">
        <v>14612</v>
      </c>
      <c r="E24" s="93">
        <v>12715</v>
      </c>
      <c r="F24" s="93">
        <v>10135</v>
      </c>
      <c r="G24" s="93">
        <v>7697</v>
      </c>
      <c r="H24" s="1"/>
      <c r="O24" s="117" t="s">
        <v>71</v>
      </c>
      <c r="P24" s="117"/>
      <c r="Q24" s="117"/>
      <c r="R24" s="117"/>
      <c r="S24" s="34">
        <f>SUM(S4:S23)</f>
        <v>0</v>
      </c>
    </row>
    <row r="25" spans="1:19" x14ac:dyDescent="0.25">
      <c r="A25" s="92" t="s">
        <v>83</v>
      </c>
      <c r="B25" s="93">
        <v>21716</v>
      </c>
      <c r="C25" s="93">
        <v>19742</v>
      </c>
      <c r="D25" s="93">
        <v>18952</v>
      </c>
      <c r="E25" s="93">
        <v>17222</v>
      </c>
      <c r="F25" s="93">
        <v>14662</v>
      </c>
      <c r="G25" s="93">
        <v>12037</v>
      </c>
    </row>
    <row r="26" spans="1:19" x14ac:dyDescent="0.25">
      <c r="A26" s="92" t="s">
        <v>84</v>
      </c>
      <c r="B26" s="93">
        <v>21219</v>
      </c>
      <c r="C26" s="93">
        <v>18599</v>
      </c>
      <c r="D26" s="93">
        <v>17551</v>
      </c>
      <c r="E26" s="93">
        <v>15979</v>
      </c>
      <c r="F26" s="93">
        <v>13359</v>
      </c>
      <c r="G26" s="93">
        <v>10739</v>
      </c>
    </row>
    <row r="27" spans="1:19" x14ac:dyDescent="0.25">
      <c r="A27" s="92" t="s">
        <v>85</v>
      </c>
      <c r="B27" s="93">
        <v>23119</v>
      </c>
      <c r="C27" s="93">
        <v>20499</v>
      </c>
      <c r="D27" s="93">
        <v>19451</v>
      </c>
      <c r="E27" s="93">
        <v>17879</v>
      </c>
      <c r="F27" s="93">
        <v>15259</v>
      </c>
      <c r="G27" s="93">
        <v>12639</v>
      </c>
    </row>
    <row r="28" spans="1:19" x14ac:dyDescent="0.25">
      <c r="A28" s="92" t="s">
        <v>86</v>
      </c>
      <c r="B28" s="93">
        <v>16236</v>
      </c>
      <c r="C28" s="93">
        <v>14760</v>
      </c>
      <c r="D28" s="93">
        <v>14170</v>
      </c>
      <c r="E28" s="93">
        <v>12430</v>
      </c>
      <c r="F28" s="93">
        <v>10037</v>
      </c>
      <c r="G28" s="93">
        <v>7697</v>
      </c>
    </row>
    <row r="29" spans="1:19" ht="15.75" customHeight="1" x14ac:dyDescent="0.25">
      <c r="A29" s="92" t="s">
        <v>87</v>
      </c>
      <c r="B29" s="93">
        <v>25958</v>
      </c>
      <c r="C29" s="93">
        <v>22753</v>
      </c>
      <c r="D29" s="93">
        <v>21471</v>
      </c>
      <c r="E29" s="93">
        <v>19547</v>
      </c>
      <c r="F29" s="93">
        <v>16342</v>
      </c>
      <c r="G29" s="93">
        <v>13137</v>
      </c>
    </row>
    <row r="30" spans="1:19" x14ac:dyDescent="0.25">
      <c r="A30" s="92" t="s">
        <v>88</v>
      </c>
      <c r="B30" s="93">
        <v>23542</v>
      </c>
      <c r="C30" s="93">
        <v>21402</v>
      </c>
      <c r="D30" s="93">
        <v>20546</v>
      </c>
      <c r="E30" s="93">
        <v>18645</v>
      </c>
      <c r="F30" s="93">
        <v>15842</v>
      </c>
      <c r="G30" s="93">
        <v>12967</v>
      </c>
    </row>
    <row r="31" spans="1:19" x14ac:dyDescent="0.25">
      <c r="A31" s="92" t="s">
        <v>89</v>
      </c>
      <c r="B31" s="93">
        <v>21005</v>
      </c>
      <c r="C31" s="93">
        <v>19096</v>
      </c>
      <c r="D31" s="93">
        <v>18332</v>
      </c>
      <c r="E31" s="93">
        <v>16558</v>
      </c>
      <c r="F31" s="93">
        <v>13973</v>
      </c>
      <c r="G31" s="93">
        <v>11365</v>
      </c>
    </row>
    <row r="32" spans="1:19" x14ac:dyDescent="0.25">
      <c r="A32" s="92" t="s">
        <v>90</v>
      </c>
      <c r="B32" s="93">
        <v>21716</v>
      </c>
      <c r="C32" s="93">
        <v>19742</v>
      </c>
      <c r="D32" s="93">
        <v>18952</v>
      </c>
      <c r="E32" s="93">
        <v>17127</v>
      </c>
      <c r="F32" s="93">
        <v>14465</v>
      </c>
      <c r="G32" s="93">
        <v>11727</v>
      </c>
    </row>
    <row r="33" spans="1:7" x14ac:dyDescent="0.25">
      <c r="A33" s="92" t="s">
        <v>91</v>
      </c>
      <c r="B33" s="93">
        <v>21005</v>
      </c>
      <c r="C33" s="93">
        <v>19096</v>
      </c>
      <c r="D33" s="93">
        <v>18332</v>
      </c>
      <c r="E33" s="93">
        <v>16558</v>
      </c>
      <c r="F33" s="93">
        <v>13973</v>
      </c>
      <c r="G33" s="93">
        <v>11314</v>
      </c>
    </row>
    <row r="34" spans="1:7" x14ac:dyDescent="0.25">
      <c r="A34" s="92" t="s">
        <v>92</v>
      </c>
      <c r="B34" s="93">
        <v>22629</v>
      </c>
      <c r="C34" s="93">
        <v>20572</v>
      </c>
      <c r="D34" s="93">
        <v>19749</v>
      </c>
      <c r="E34" s="93">
        <v>17886</v>
      </c>
      <c r="F34" s="93">
        <v>15154</v>
      </c>
      <c r="G34" s="93">
        <v>12450</v>
      </c>
    </row>
    <row r="35" spans="1:7" ht="15" customHeight="1" x14ac:dyDescent="0.25">
      <c r="A35" s="92" t="s">
        <v>93</v>
      </c>
      <c r="B35" s="93">
        <v>16878</v>
      </c>
      <c r="C35" s="93">
        <v>13889</v>
      </c>
      <c r="D35" s="93">
        <v>12693</v>
      </c>
      <c r="E35" s="93">
        <v>10900</v>
      </c>
      <c r="F35" s="93">
        <v>7911</v>
      </c>
      <c r="G35" s="93">
        <v>4922</v>
      </c>
    </row>
    <row r="36" spans="1:7" x14ac:dyDescent="0.25">
      <c r="A36" s="92" t="s">
        <v>94</v>
      </c>
      <c r="B36" s="93">
        <v>25470</v>
      </c>
      <c r="C36" s="93">
        <v>23155</v>
      </c>
      <c r="D36" s="93">
        <v>22229</v>
      </c>
      <c r="E36" s="93">
        <v>20163</v>
      </c>
      <c r="F36" s="93">
        <v>17122</v>
      </c>
      <c r="G36" s="93">
        <v>14052</v>
      </c>
    </row>
    <row r="37" spans="1:7" x14ac:dyDescent="0.25">
      <c r="A37" s="92" t="s">
        <v>95</v>
      </c>
      <c r="B37" s="93">
        <v>25267</v>
      </c>
      <c r="C37" s="93">
        <v>22970</v>
      </c>
      <c r="D37" s="93">
        <v>22051</v>
      </c>
      <c r="E37" s="93">
        <v>20021</v>
      </c>
      <c r="F37" s="93">
        <v>17023</v>
      </c>
      <c r="G37" s="93">
        <v>13948</v>
      </c>
    </row>
    <row r="38" spans="1:7" x14ac:dyDescent="0.25">
      <c r="A38" s="92" t="s">
        <v>96</v>
      </c>
      <c r="B38" s="93">
        <v>21005</v>
      </c>
      <c r="C38" s="93">
        <v>19096</v>
      </c>
      <c r="D38" s="93">
        <v>18332</v>
      </c>
      <c r="E38" s="93">
        <v>16083</v>
      </c>
      <c r="F38" s="93">
        <v>12989</v>
      </c>
      <c r="G38" s="93">
        <v>9970</v>
      </c>
    </row>
    <row r="39" spans="1:7" x14ac:dyDescent="0.25">
      <c r="A39" s="92" t="s">
        <v>97</v>
      </c>
      <c r="B39" s="93">
        <v>24278</v>
      </c>
      <c r="C39" s="93">
        <v>21289</v>
      </c>
      <c r="D39" s="93">
        <v>20093</v>
      </c>
      <c r="E39" s="93">
        <v>18300</v>
      </c>
      <c r="F39" s="93">
        <v>15311</v>
      </c>
      <c r="G39" s="93">
        <v>12322</v>
      </c>
    </row>
    <row r="40" spans="1:7" x14ac:dyDescent="0.25">
      <c r="A40" s="92" t="s">
        <v>98</v>
      </c>
      <c r="B40" s="93">
        <v>26372</v>
      </c>
      <c r="C40" s="93">
        <v>23420</v>
      </c>
      <c r="D40" s="93">
        <v>22239</v>
      </c>
      <c r="E40" s="93">
        <v>20468</v>
      </c>
      <c r="F40" s="93">
        <v>17516</v>
      </c>
      <c r="G40" s="93">
        <v>14564</v>
      </c>
    </row>
    <row r="41" spans="1:7" x14ac:dyDescent="0.25">
      <c r="A41" s="92" t="s">
        <v>99</v>
      </c>
      <c r="B41" s="93">
        <v>27195</v>
      </c>
      <c r="C41" s="93">
        <v>24723</v>
      </c>
      <c r="D41" s="93">
        <v>23734</v>
      </c>
      <c r="E41" s="93">
        <v>21254</v>
      </c>
      <c r="F41" s="93">
        <v>17712</v>
      </c>
      <c r="G41" s="93">
        <v>14052</v>
      </c>
    </row>
    <row r="42" spans="1:7" x14ac:dyDescent="0.25">
      <c r="A42" s="92" t="s">
        <v>100</v>
      </c>
      <c r="B42" s="93">
        <v>18570</v>
      </c>
      <c r="C42" s="93">
        <v>16882</v>
      </c>
      <c r="D42" s="93">
        <v>16206</v>
      </c>
      <c r="E42" s="93">
        <v>14185</v>
      </c>
      <c r="F42" s="93">
        <v>11414</v>
      </c>
      <c r="G42" s="93">
        <v>8782</v>
      </c>
    </row>
    <row r="43" spans="1:7" x14ac:dyDescent="0.25">
      <c r="A43" s="92" t="s">
        <v>101</v>
      </c>
      <c r="B43" s="93">
        <v>24354</v>
      </c>
      <c r="C43" s="93">
        <v>22140</v>
      </c>
      <c r="D43" s="93">
        <v>21254</v>
      </c>
      <c r="E43" s="93">
        <v>19309</v>
      </c>
      <c r="F43" s="93">
        <v>16433</v>
      </c>
      <c r="G43" s="93">
        <v>13328</v>
      </c>
    </row>
    <row r="44" spans="1:7" x14ac:dyDescent="0.25">
      <c r="A44" s="92" t="s">
        <v>102</v>
      </c>
      <c r="B44" s="93">
        <v>24050</v>
      </c>
      <c r="C44" s="93">
        <v>21863</v>
      </c>
      <c r="D44" s="93">
        <v>20989</v>
      </c>
      <c r="E44" s="93">
        <v>18930</v>
      </c>
      <c r="F44" s="93">
        <v>15941</v>
      </c>
      <c r="G44" s="93">
        <v>12915</v>
      </c>
    </row>
    <row r="45" spans="1:7" x14ac:dyDescent="0.25">
      <c r="A45" s="92" t="s">
        <v>103</v>
      </c>
      <c r="B45" s="93">
        <v>26384</v>
      </c>
      <c r="C45" s="93">
        <v>23985</v>
      </c>
      <c r="D45" s="93">
        <v>23026</v>
      </c>
      <c r="E45" s="93">
        <v>20875</v>
      </c>
      <c r="F45" s="93">
        <v>17712</v>
      </c>
      <c r="G45" s="93">
        <v>14516</v>
      </c>
    </row>
    <row r="46" spans="1:7" x14ac:dyDescent="0.25">
      <c r="A46" s="92" t="s">
        <v>104</v>
      </c>
      <c r="B46" s="93">
        <v>26384</v>
      </c>
      <c r="C46" s="93">
        <v>23985</v>
      </c>
      <c r="D46" s="93">
        <v>23026</v>
      </c>
      <c r="E46" s="93">
        <v>20875</v>
      </c>
      <c r="F46" s="93">
        <v>17712</v>
      </c>
      <c r="G46" s="93">
        <v>14516</v>
      </c>
    </row>
    <row r="47" spans="1:7" x14ac:dyDescent="0.25">
      <c r="A47" s="92" t="s">
        <v>105</v>
      </c>
      <c r="B47" s="93">
        <v>23238</v>
      </c>
      <c r="C47" s="93">
        <v>21125</v>
      </c>
      <c r="D47" s="93">
        <v>20280</v>
      </c>
      <c r="E47" s="93">
        <v>17791</v>
      </c>
      <c r="F47" s="93">
        <v>14366</v>
      </c>
      <c r="G47" s="93">
        <v>11004</v>
      </c>
    </row>
    <row r="48" spans="1:7" x14ac:dyDescent="0.25">
      <c r="A48" s="92" t="s">
        <v>106</v>
      </c>
      <c r="B48" s="93">
        <v>26219</v>
      </c>
      <c r="C48" s="93">
        <v>22972</v>
      </c>
      <c r="D48" s="93">
        <v>21673</v>
      </c>
      <c r="E48" s="93">
        <v>19725</v>
      </c>
      <c r="F48" s="93">
        <v>16478</v>
      </c>
      <c r="G48" s="93">
        <v>13230</v>
      </c>
    </row>
    <row r="49" spans="1:7" x14ac:dyDescent="0.25">
      <c r="A49" s="92" t="s">
        <v>107</v>
      </c>
      <c r="B49" s="93">
        <v>28513</v>
      </c>
      <c r="C49" s="93">
        <v>25303</v>
      </c>
      <c r="D49" s="93">
        <v>24019</v>
      </c>
      <c r="E49" s="93">
        <v>22093</v>
      </c>
      <c r="F49" s="93">
        <v>18882</v>
      </c>
      <c r="G49" s="93">
        <v>15672</v>
      </c>
    </row>
    <row r="50" spans="1:7" x14ac:dyDescent="0.25">
      <c r="A50" s="92" t="s">
        <v>108</v>
      </c>
      <c r="B50" s="93">
        <v>26181</v>
      </c>
      <c r="C50" s="93">
        <v>23801</v>
      </c>
      <c r="D50" s="93">
        <v>22848</v>
      </c>
      <c r="E50" s="93">
        <v>20638</v>
      </c>
      <c r="F50" s="93">
        <v>17417</v>
      </c>
      <c r="G50" s="93">
        <v>14155</v>
      </c>
    </row>
    <row r="51" spans="1:7" x14ac:dyDescent="0.25">
      <c r="A51" s="92" t="s">
        <v>109</v>
      </c>
      <c r="B51" s="93">
        <v>25572</v>
      </c>
      <c r="C51" s="93">
        <v>23247</v>
      </c>
      <c r="D51" s="93">
        <v>22317</v>
      </c>
      <c r="E51" s="93">
        <v>20163</v>
      </c>
      <c r="F51" s="93">
        <v>17023</v>
      </c>
      <c r="G51" s="93">
        <v>13793</v>
      </c>
    </row>
    <row r="52" spans="1:7" x14ac:dyDescent="0.25">
      <c r="A52" s="92" t="s">
        <v>110</v>
      </c>
      <c r="B52" s="93">
        <v>26891</v>
      </c>
      <c r="C52" s="93">
        <v>24446</v>
      </c>
      <c r="D52" s="93">
        <v>23468</v>
      </c>
      <c r="E52" s="93">
        <v>21112</v>
      </c>
      <c r="F52" s="93">
        <v>17712</v>
      </c>
      <c r="G52" s="93">
        <v>14258</v>
      </c>
    </row>
    <row r="53" spans="1:7" x14ac:dyDescent="0.25">
      <c r="A53" s="92" t="s">
        <v>111</v>
      </c>
      <c r="B53" s="93">
        <v>26891</v>
      </c>
      <c r="C53" s="93">
        <v>24446</v>
      </c>
      <c r="D53" s="93">
        <v>23468</v>
      </c>
      <c r="E53" s="93">
        <v>21112</v>
      </c>
      <c r="F53" s="93">
        <v>17712</v>
      </c>
      <c r="G53" s="93">
        <v>14258</v>
      </c>
    </row>
    <row r="54" spans="1:7" x14ac:dyDescent="0.25">
      <c r="A54" s="92" t="s">
        <v>112</v>
      </c>
      <c r="B54" s="93">
        <v>25516</v>
      </c>
      <c r="C54" s="93">
        <v>22605</v>
      </c>
      <c r="D54" s="93">
        <v>21441</v>
      </c>
      <c r="E54" s="93">
        <v>19695</v>
      </c>
      <c r="F54" s="93">
        <v>16784</v>
      </c>
      <c r="G54" s="93">
        <v>13874</v>
      </c>
    </row>
    <row r="55" spans="1:7" x14ac:dyDescent="0.25">
      <c r="A55" s="92" t="s">
        <v>113</v>
      </c>
      <c r="B55" s="93">
        <v>30584</v>
      </c>
      <c r="C55" s="93">
        <v>27195</v>
      </c>
      <c r="D55" s="93">
        <v>25839</v>
      </c>
      <c r="E55" s="93">
        <v>23805</v>
      </c>
      <c r="F55" s="93">
        <v>20421</v>
      </c>
      <c r="G55" s="93">
        <v>17069</v>
      </c>
    </row>
    <row r="56" spans="1:7" x14ac:dyDescent="0.25">
      <c r="A56" s="92" t="s">
        <v>114</v>
      </c>
      <c r="B56" s="93">
        <v>27601</v>
      </c>
      <c r="C56" s="93">
        <v>25092</v>
      </c>
      <c r="D56" s="93">
        <v>24088</v>
      </c>
      <c r="E56" s="93">
        <v>21681</v>
      </c>
      <c r="F56" s="93">
        <v>18204</v>
      </c>
      <c r="G56" s="93">
        <v>14620</v>
      </c>
    </row>
    <row r="57" spans="1:7" x14ac:dyDescent="0.25">
      <c r="A57" s="92" t="s">
        <v>115</v>
      </c>
      <c r="B57" s="93">
        <v>31572</v>
      </c>
      <c r="C57" s="93">
        <v>27993</v>
      </c>
      <c r="D57" s="93">
        <v>26561</v>
      </c>
      <c r="E57" s="93">
        <v>24414</v>
      </c>
      <c r="F57" s="93">
        <v>20834</v>
      </c>
      <c r="G57" s="93">
        <v>17255</v>
      </c>
    </row>
    <row r="58" spans="1:7" x14ac:dyDescent="0.25">
      <c r="A58" s="92" t="s">
        <v>116</v>
      </c>
      <c r="B58" s="93">
        <v>30138</v>
      </c>
      <c r="C58" s="93">
        <v>27398</v>
      </c>
      <c r="D58" s="93">
        <v>26302</v>
      </c>
      <c r="E58" s="93">
        <v>23816</v>
      </c>
      <c r="F58" s="93">
        <v>20172</v>
      </c>
      <c r="G58" s="93">
        <v>16480</v>
      </c>
    </row>
    <row r="59" spans="1:7" ht="15" customHeight="1" x14ac:dyDescent="0.25">
      <c r="A59" s="92" t="s">
        <v>117</v>
      </c>
      <c r="B59" s="93">
        <v>28920</v>
      </c>
      <c r="C59" s="93">
        <v>26291</v>
      </c>
      <c r="D59" s="93">
        <v>25240</v>
      </c>
      <c r="E59" s="93">
        <v>22773</v>
      </c>
      <c r="F59" s="93">
        <v>19188</v>
      </c>
      <c r="G59" s="93">
        <v>15550</v>
      </c>
    </row>
    <row r="60" spans="1:7" x14ac:dyDescent="0.25">
      <c r="A60" s="92" t="s">
        <v>118</v>
      </c>
      <c r="B60" s="93">
        <v>28210</v>
      </c>
      <c r="C60" s="93">
        <v>25646</v>
      </c>
      <c r="D60" s="93">
        <v>24620</v>
      </c>
      <c r="E60" s="93">
        <v>22251</v>
      </c>
      <c r="F60" s="93">
        <v>18794</v>
      </c>
      <c r="G60" s="93">
        <v>15240</v>
      </c>
    </row>
    <row r="61" spans="1:7" x14ac:dyDescent="0.25">
      <c r="A61" s="92" t="s">
        <v>119</v>
      </c>
      <c r="B61" s="93">
        <v>33182</v>
      </c>
      <c r="C61" s="93">
        <v>30166</v>
      </c>
      <c r="D61" s="93">
        <v>28959</v>
      </c>
      <c r="E61" s="93">
        <v>26046</v>
      </c>
      <c r="F61" s="93">
        <v>21845</v>
      </c>
      <c r="G61" s="93">
        <v>17564</v>
      </c>
    </row>
    <row r="62" spans="1:7" x14ac:dyDescent="0.25">
      <c r="A62" s="92" t="s">
        <v>120</v>
      </c>
      <c r="B62" s="93">
        <v>30950</v>
      </c>
      <c r="C62" s="93">
        <v>28136</v>
      </c>
      <c r="D62" s="93">
        <v>27011</v>
      </c>
      <c r="E62" s="93">
        <v>23721</v>
      </c>
      <c r="F62" s="93">
        <v>19188</v>
      </c>
      <c r="G62" s="93">
        <v>14671</v>
      </c>
    </row>
    <row r="63" spans="1:7" x14ac:dyDescent="0.25">
      <c r="A63" s="92" t="s">
        <v>121</v>
      </c>
      <c r="B63" s="93">
        <v>26891</v>
      </c>
      <c r="C63" s="93">
        <v>24446</v>
      </c>
      <c r="D63" s="93">
        <v>23468</v>
      </c>
      <c r="E63" s="93">
        <v>20590</v>
      </c>
      <c r="F63" s="93">
        <v>16630</v>
      </c>
      <c r="G63" s="93">
        <v>12812</v>
      </c>
    </row>
    <row r="64" spans="1:7" x14ac:dyDescent="0.25">
      <c r="A64" s="92" t="s">
        <v>122</v>
      </c>
      <c r="B64" s="93">
        <v>27066</v>
      </c>
      <c r="C64" s="93">
        <v>23524</v>
      </c>
      <c r="D64" s="93">
        <v>22107</v>
      </c>
      <c r="E64" s="93">
        <v>19982</v>
      </c>
      <c r="F64" s="93">
        <v>16439</v>
      </c>
      <c r="G64" s="93">
        <v>12897</v>
      </c>
    </row>
    <row r="65" spans="1:7" x14ac:dyDescent="0.25">
      <c r="A65" s="92" t="s">
        <v>123</v>
      </c>
      <c r="B65" s="93">
        <v>34704</v>
      </c>
      <c r="C65" s="93">
        <v>31550</v>
      </c>
      <c r="D65" s="93">
        <v>30288</v>
      </c>
      <c r="E65" s="93">
        <v>27517</v>
      </c>
      <c r="F65" s="93">
        <v>23419</v>
      </c>
      <c r="G65" s="93">
        <v>19269</v>
      </c>
    </row>
    <row r="66" spans="1:7" ht="15" customHeight="1" x14ac:dyDescent="0.25">
      <c r="A66" s="92" t="s">
        <v>124</v>
      </c>
      <c r="B66" s="93">
        <v>34502</v>
      </c>
      <c r="C66" s="93">
        <v>31365</v>
      </c>
      <c r="D66" s="93">
        <v>30110</v>
      </c>
      <c r="E66" s="93">
        <v>27327</v>
      </c>
      <c r="F66" s="93">
        <v>23222</v>
      </c>
      <c r="G66" s="93">
        <v>19114</v>
      </c>
    </row>
    <row r="67" spans="1:7" x14ac:dyDescent="0.25">
      <c r="A67" s="92" t="s">
        <v>125</v>
      </c>
      <c r="B67" s="93">
        <v>28616</v>
      </c>
      <c r="C67" s="93">
        <v>26015</v>
      </c>
      <c r="D67" s="93">
        <v>24974</v>
      </c>
      <c r="E67" s="93">
        <v>21919</v>
      </c>
      <c r="F67" s="93">
        <v>17712</v>
      </c>
      <c r="G67" s="93">
        <v>13638</v>
      </c>
    </row>
    <row r="68" spans="1:7" x14ac:dyDescent="0.25">
      <c r="A68" s="92" t="s">
        <v>126</v>
      </c>
      <c r="B68" s="93">
        <v>34704</v>
      </c>
      <c r="C68" s="93">
        <v>31550</v>
      </c>
      <c r="D68" s="93">
        <v>30288</v>
      </c>
      <c r="E68" s="93">
        <v>27517</v>
      </c>
      <c r="F68" s="93">
        <v>23419</v>
      </c>
      <c r="G68" s="93">
        <v>19269</v>
      </c>
    </row>
    <row r="69" spans="1:7" x14ac:dyDescent="0.25">
      <c r="A69" s="92" t="s">
        <v>127</v>
      </c>
      <c r="B69" s="93">
        <v>31716</v>
      </c>
      <c r="C69" s="93">
        <v>28105</v>
      </c>
      <c r="D69" s="93">
        <v>26661</v>
      </c>
      <c r="E69" s="93">
        <v>24495</v>
      </c>
      <c r="F69" s="93">
        <v>20884</v>
      </c>
      <c r="G69" s="93">
        <v>17274</v>
      </c>
    </row>
    <row r="70" spans="1:7" x14ac:dyDescent="0.25">
      <c r="A70" s="92" t="s">
        <v>128</v>
      </c>
      <c r="B70" s="93">
        <v>33149</v>
      </c>
      <c r="C70" s="93">
        <v>29090</v>
      </c>
      <c r="D70" s="93">
        <v>27466</v>
      </c>
      <c r="E70" s="93">
        <v>25031</v>
      </c>
      <c r="F70" s="93">
        <v>20972</v>
      </c>
      <c r="G70" s="93">
        <v>16913</v>
      </c>
    </row>
    <row r="71" spans="1:7" x14ac:dyDescent="0.25">
      <c r="A71" s="92" t="s">
        <v>129</v>
      </c>
      <c r="B71" s="93">
        <v>36155</v>
      </c>
      <c r="C71" s="93">
        <v>32059</v>
      </c>
      <c r="D71" s="93">
        <v>30421</v>
      </c>
      <c r="E71" s="93">
        <v>27963</v>
      </c>
      <c r="F71" s="93">
        <v>23867</v>
      </c>
      <c r="G71" s="93">
        <v>19771</v>
      </c>
    </row>
    <row r="72" spans="1:7" x14ac:dyDescent="0.25">
      <c r="A72" s="92" t="s">
        <v>130</v>
      </c>
      <c r="B72" s="93">
        <v>36328</v>
      </c>
      <c r="C72" s="93">
        <v>33026</v>
      </c>
      <c r="D72" s="93">
        <v>31704</v>
      </c>
      <c r="E72" s="93">
        <v>28750</v>
      </c>
      <c r="F72" s="93">
        <v>24403</v>
      </c>
      <c r="G72" s="93">
        <v>19941</v>
      </c>
    </row>
    <row r="73" spans="1:7" x14ac:dyDescent="0.25">
      <c r="A73" s="92" t="s">
        <v>131</v>
      </c>
      <c r="B73" s="93">
        <v>36125</v>
      </c>
      <c r="C73" s="93">
        <v>32841</v>
      </c>
      <c r="D73" s="93">
        <v>31527</v>
      </c>
      <c r="E73" s="93">
        <v>28229</v>
      </c>
      <c r="F73" s="93">
        <v>23518</v>
      </c>
      <c r="G73" s="93">
        <v>18701</v>
      </c>
    </row>
    <row r="74" spans="1:7" x14ac:dyDescent="0.25">
      <c r="A74" s="92" t="s">
        <v>132</v>
      </c>
      <c r="B74" s="93">
        <v>24963</v>
      </c>
      <c r="C74" s="93">
        <v>22694</v>
      </c>
      <c r="D74" s="93">
        <v>21786</v>
      </c>
      <c r="E74" s="93">
        <v>19072</v>
      </c>
      <c r="F74" s="93">
        <v>15350</v>
      </c>
      <c r="G74" s="93">
        <v>11830</v>
      </c>
    </row>
    <row r="75" spans="1:7" ht="15" customHeight="1" x14ac:dyDescent="0.25">
      <c r="A75" s="92" t="s">
        <v>133</v>
      </c>
      <c r="B75" s="93">
        <v>32979</v>
      </c>
      <c r="C75" s="93">
        <v>29981</v>
      </c>
      <c r="D75" s="93">
        <v>28782</v>
      </c>
      <c r="E75" s="93">
        <v>25999</v>
      </c>
      <c r="F75" s="93">
        <v>21943</v>
      </c>
      <c r="G75" s="93">
        <v>17771</v>
      </c>
    </row>
    <row r="76" spans="1:7" x14ac:dyDescent="0.25">
      <c r="A76" s="92" t="s">
        <v>134</v>
      </c>
      <c r="B76" s="93">
        <v>32168</v>
      </c>
      <c r="C76" s="93">
        <v>29243</v>
      </c>
      <c r="D76" s="93">
        <v>28074</v>
      </c>
      <c r="E76" s="93">
        <v>25382</v>
      </c>
      <c r="F76" s="93">
        <v>21451</v>
      </c>
      <c r="G76" s="93">
        <v>17409</v>
      </c>
    </row>
    <row r="77" spans="1:7" x14ac:dyDescent="0.25">
      <c r="A77" s="92" t="s">
        <v>135</v>
      </c>
      <c r="B77" s="93">
        <v>35009</v>
      </c>
      <c r="C77" s="93">
        <v>31826</v>
      </c>
      <c r="D77" s="93">
        <v>30553</v>
      </c>
      <c r="E77" s="93">
        <v>27517</v>
      </c>
      <c r="F77" s="93">
        <v>23124</v>
      </c>
      <c r="G77" s="93">
        <v>18649</v>
      </c>
    </row>
    <row r="78" spans="1:7" x14ac:dyDescent="0.25">
      <c r="A78" s="92" t="s">
        <v>136</v>
      </c>
      <c r="B78" s="93">
        <v>35009</v>
      </c>
      <c r="C78" s="93">
        <v>31826</v>
      </c>
      <c r="D78" s="93">
        <v>30553</v>
      </c>
      <c r="E78" s="93">
        <v>27517</v>
      </c>
      <c r="F78" s="93">
        <v>23124</v>
      </c>
      <c r="G78" s="93">
        <v>18649</v>
      </c>
    </row>
    <row r="79" spans="1:7" x14ac:dyDescent="0.25">
      <c r="A79" s="92" t="s">
        <v>137</v>
      </c>
      <c r="B79" s="93">
        <v>35821</v>
      </c>
      <c r="C79" s="93">
        <v>32564</v>
      </c>
      <c r="D79" s="93">
        <v>31262</v>
      </c>
      <c r="E79" s="93">
        <v>28371</v>
      </c>
      <c r="F79" s="93">
        <v>24108</v>
      </c>
      <c r="G79" s="93">
        <v>19786</v>
      </c>
    </row>
    <row r="80" spans="1:7" x14ac:dyDescent="0.25">
      <c r="A80" s="92" t="s">
        <v>138</v>
      </c>
      <c r="B80" s="93">
        <v>35821</v>
      </c>
      <c r="C80" s="93">
        <v>32564</v>
      </c>
      <c r="D80" s="93">
        <v>31262</v>
      </c>
      <c r="E80" s="93">
        <v>28371</v>
      </c>
      <c r="F80" s="93">
        <v>24108</v>
      </c>
      <c r="G80" s="93">
        <v>19786</v>
      </c>
    </row>
    <row r="81" spans="1:7" x14ac:dyDescent="0.25">
      <c r="A81" s="92" t="s">
        <v>139</v>
      </c>
      <c r="B81" s="93">
        <v>37850</v>
      </c>
      <c r="C81" s="93">
        <v>34409</v>
      </c>
      <c r="D81" s="93">
        <v>33033</v>
      </c>
      <c r="E81" s="93">
        <v>29984</v>
      </c>
      <c r="F81" s="93">
        <v>25486</v>
      </c>
      <c r="G81" s="93">
        <v>20922</v>
      </c>
    </row>
    <row r="82" spans="1:7" x14ac:dyDescent="0.25">
      <c r="A82" s="92" t="s">
        <v>140</v>
      </c>
      <c r="B82" s="93">
        <v>41605</v>
      </c>
      <c r="C82" s="93">
        <v>37823</v>
      </c>
      <c r="D82" s="93">
        <v>36310</v>
      </c>
      <c r="E82" s="93">
        <v>32688</v>
      </c>
      <c r="F82" s="93">
        <v>27454</v>
      </c>
      <c r="G82" s="93">
        <v>22059</v>
      </c>
    </row>
    <row r="83" spans="1:7" x14ac:dyDescent="0.25">
      <c r="A83" s="92" t="s">
        <v>141</v>
      </c>
      <c r="B83" s="93">
        <v>38966</v>
      </c>
      <c r="C83" s="93">
        <v>35424</v>
      </c>
      <c r="D83" s="93">
        <v>34007</v>
      </c>
      <c r="E83" s="93">
        <v>29842</v>
      </c>
      <c r="F83" s="93">
        <v>24108</v>
      </c>
      <c r="G83" s="93">
        <v>18443</v>
      </c>
    </row>
    <row r="84" spans="1:7" x14ac:dyDescent="0.25">
      <c r="A84" s="92" t="s">
        <v>142</v>
      </c>
      <c r="B84" s="93">
        <v>32675</v>
      </c>
      <c r="C84" s="93">
        <v>29705</v>
      </c>
      <c r="D84" s="93">
        <v>28516</v>
      </c>
      <c r="E84" s="93">
        <v>25002</v>
      </c>
      <c r="F84" s="93">
        <v>20172</v>
      </c>
      <c r="G84" s="93">
        <v>15550</v>
      </c>
    </row>
    <row r="85" spans="1:7" x14ac:dyDescent="0.25">
      <c r="A85" s="92" t="s">
        <v>143</v>
      </c>
      <c r="B85" s="93">
        <v>32890</v>
      </c>
      <c r="C85" s="93">
        <v>28573</v>
      </c>
      <c r="D85" s="93">
        <v>26846</v>
      </c>
      <c r="E85" s="93">
        <v>24256</v>
      </c>
      <c r="F85" s="93">
        <v>19938</v>
      </c>
      <c r="G85" s="93">
        <v>15621</v>
      </c>
    </row>
    <row r="86" spans="1:7" x14ac:dyDescent="0.25">
      <c r="A86" s="92" t="s">
        <v>144</v>
      </c>
      <c r="B86" s="93">
        <v>43228</v>
      </c>
      <c r="C86" s="93">
        <v>39299</v>
      </c>
      <c r="D86" s="93">
        <v>37727</v>
      </c>
      <c r="E86" s="93">
        <v>34301</v>
      </c>
      <c r="F86" s="93">
        <v>29225</v>
      </c>
      <c r="G86" s="93">
        <v>24022</v>
      </c>
    </row>
    <row r="87" spans="1:7" x14ac:dyDescent="0.25">
      <c r="A87" s="92" t="s">
        <v>145</v>
      </c>
      <c r="B87" s="93">
        <v>43228</v>
      </c>
      <c r="C87" s="93">
        <v>39299</v>
      </c>
      <c r="D87" s="93">
        <v>37727</v>
      </c>
      <c r="E87" s="93">
        <v>34254</v>
      </c>
      <c r="F87" s="93">
        <v>29126</v>
      </c>
      <c r="G87" s="93">
        <v>23970</v>
      </c>
    </row>
    <row r="88" spans="1:7" x14ac:dyDescent="0.25">
      <c r="A88" s="92" t="s">
        <v>146</v>
      </c>
      <c r="B88" s="93">
        <v>35922</v>
      </c>
      <c r="C88" s="93">
        <v>32657</v>
      </c>
      <c r="D88" s="93">
        <v>31350</v>
      </c>
      <c r="E88" s="93">
        <v>27564</v>
      </c>
      <c r="F88" s="93">
        <v>22337</v>
      </c>
      <c r="G88" s="93">
        <v>17151</v>
      </c>
    </row>
    <row r="89" spans="1:7" x14ac:dyDescent="0.25">
      <c r="A89" s="92" t="s">
        <v>147</v>
      </c>
      <c r="B89" s="93">
        <v>40184</v>
      </c>
      <c r="C89" s="93">
        <v>36531</v>
      </c>
      <c r="D89" s="93">
        <v>35070</v>
      </c>
      <c r="E89" s="93">
        <v>31644</v>
      </c>
      <c r="F89" s="93">
        <v>26666</v>
      </c>
      <c r="G89" s="93">
        <v>21646</v>
      </c>
    </row>
    <row r="90" spans="1:7" x14ac:dyDescent="0.25">
      <c r="A90" s="92" t="s">
        <v>148</v>
      </c>
      <c r="B90" s="93">
        <v>45214</v>
      </c>
      <c r="C90" s="93">
        <v>40122</v>
      </c>
      <c r="D90" s="93">
        <v>38085</v>
      </c>
      <c r="E90" s="93">
        <v>35030</v>
      </c>
      <c r="F90" s="93">
        <v>29938</v>
      </c>
      <c r="G90" s="93">
        <v>24845</v>
      </c>
    </row>
    <row r="91" spans="1:7" x14ac:dyDescent="0.25">
      <c r="A91" s="92" t="s">
        <v>149</v>
      </c>
      <c r="B91" s="93">
        <v>40861</v>
      </c>
      <c r="C91" s="93">
        <v>36101</v>
      </c>
      <c r="D91" s="93">
        <v>34197</v>
      </c>
      <c r="E91" s="93">
        <v>31341</v>
      </c>
      <c r="F91" s="93">
        <v>26586</v>
      </c>
      <c r="G91" s="93">
        <v>21862</v>
      </c>
    </row>
    <row r="92" spans="1:7" x14ac:dyDescent="0.25">
      <c r="A92" s="92" t="s">
        <v>150</v>
      </c>
      <c r="B92" s="93">
        <v>45359</v>
      </c>
      <c r="C92" s="93">
        <v>41236</v>
      </c>
      <c r="D92" s="93">
        <v>39586</v>
      </c>
      <c r="E92" s="93">
        <v>35867</v>
      </c>
      <c r="F92" s="93">
        <v>30406</v>
      </c>
      <c r="G92" s="93">
        <v>24848</v>
      </c>
    </row>
    <row r="93" spans="1:7" x14ac:dyDescent="0.25">
      <c r="A93" s="92" t="s">
        <v>151</v>
      </c>
      <c r="B93" s="93">
        <v>45359</v>
      </c>
      <c r="C93" s="93">
        <v>41236</v>
      </c>
      <c r="D93" s="93">
        <v>39586</v>
      </c>
      <c r="E93" s="93">
        <v>35440</v>
      </c>
      <c r="F93" s="93">
        <v>29520</v>
      </c>
      <c r="G93" s="93">
        <v>23505</v>
      </c>
    </row>
    <row r="94" spans="1:7" x14ac:dyDescent="0.25">
      <c r="A94" s="92" t="s">
        <v>152</v>
      </c>
      <c r="B94" s="93">
        <v>31051</v>
      </c>
      <c r="C94" s="93">
        <v>28229</v>
      </c>
      <c r="D94" s="93">
        <v>27099</v>
      </c>
      <c r="E94" s="93">
        <v>22937</v>
      </c>
      <c r="F94" s="93">
        <v>18811</v>
      </c>
      <c r="G94" s="93">
        <v>14684</v>
      </c>
    </row>
    <row r="95" spans="1:7" x14ac:dyDescent="0.25">
      <c r="A95" s="92" t="s">
        <v>153</v>
      </c>
      <c r="B95" s="93">
        <v>42518</v>
      </c>
      <c r="C95" s="93">
        <v>38653</v>
      </c>
      <c r="D95" s="93">
        <v>37107</v>
      </c>
      <c r="E95" s="93">
        <v>33495</v>
      </c>
      <c r="F95" s="93">
        <v>28241</v>
      </c>
      <c r="G95" s="93">
        <v>22937</v>
      </c>
    </row>
    <row r="96" spans="1:7" x14ac:dyDescent="0.25">
      <c r="A96" s="92" t="s">
        <v>154</v>
      </c>
      <c r="B96" s="93">
        <v>40184</v>
      </c>
      <c r="C96" s="93">
        <v>36531</v>
      </c>
      <c r="D96" s="93">
        <v>35070</v>
      </c>
      <c r="E96" s="93">
        <v>31644</v>
      </c>
      <c r="F96" s="93">
        <v>26666</v>
      </c>
      <c r="G96" s="93">
        <v>21646</v>
      </c>
    </row>
    <row r="97" spans="1:7" x14ac:dyDescent="0.25">
      <c r="A97" s="92" t="s">
        <v>155</v>
      </c>
      <c r="B97" s="93">
        <v>43025</v>
      </c>
      <c r="C97" s="93">
        <v>39114</v>
      </c>
      <c r="D97" s="93">
        <v>37549</v>
      </c>
      <c r="E97" s="93">
        <v>33779</v>
      </c>
      <c r="F97" s="93">
        <v>28339</v>
      </c>
      <c r="G97" s="93">
        <v>22834</v>
      </c>
    </row>
    <row r="98" spans="1:7" x14ac:dyDescent="0.25">
      <c r="A98" s="92" t="s">
        <v>156</v>
      </c>
      <c r="B98" s="93">
        <v>43025</v>
      </c>
      <c r="C98" s="93">
        <v>39114</v>
      </c>
      <c r="D98" s="93">
        <v>37549</v>
      </c>
      <c r="E98" s="93">
        <v>33779</v>
      </c>
      <c r="F98" s="93">
        <v>28339</v>
      </c>
      <c r="G98" s="93">
        <v>22834</v>
      </c>
    </row>
    <row r="99" spans="1:7" x14ac:dyDescent="0.25">
      <c r="A99" s="92" t="s">
        <v>157</v>
      </c>
      <c r="B99" s="93">
        <v>43573</v>
      </c>
      <c r="C99" s="93">
        <v>38739</v>
      </c>
      <c r="D99" s="93">
        <v>36805</v>
      </c>
      <c r="E99" s="93">
        <v>33905</v>
      </c>
      <c r="F99" s="93">
        <v>29071</v>
      </c>
      <c r="G99" s="93">
        <v>24237</v>
      </c>
    </row>
    <row r="100" spans="1:7" x14ac:dyDescent="0.25">
      <c r="A100" s="92" t="s">
        <v>158</v>
      </c>
      <c r="B100" s="93">
        <v>44953</v>
      </c>
      <c r="C100" s="93">
        <v>40867</v>
      </c>
      <c r="D100" s="93">
        <v>39232</v>
      </c>
      <c r="E100" s="93">
        <v>35582</v>
      </c>
      <c r="F100" s="93">
        <v>30209</v>
      </c>
      <c r="G100" s="93">
        <v>24797</v>
      </c>
    </row>
    <row r="101" spans="1:7" x14ac:dyDescent="0.25">
      <c r="A101" s="92" t="s">
        <v>159</v>
      </c>
      <c r="B101" s="93">
        <v>44953</v>
      </c>
      <c r="C101" s="93">
        <v>40867</v>
      </c>
      <c r="D101" s="93">
        <v>39232</v>
      </c>
      <c r="E101" s="93">
        <v>35582</v>
      </c>
      <c r="F101" s="93">
        <v>30209</v>
      </c>
      <c r="G101" s="93">
        <v>24797</v>
      </c>
    </row>
    <row r="102" spans="1:7" x14ac:dyDescent="0.25">
      <c r="A102" s="92" t="s">
        <v>160</v>
      </c>
      <c r="B102" s="93">
        <v>47389</v>
      </c>
      <c r="C102" s="93">
        <v>43081</v>
      </c>
      <c r="D102" s="93">
        <v>41358</v>
      </c>
      <c r="E102" s="93">
        <v>37527</v>
      </c>
      <c r="F102" s="93">
        <v>31882</v>
      </c>
      <c r="G102" s="93">
        <v>26192</v>
      </c>
    </row>
    <row r="103" spans="1:7" x14ac:dyDescent="0.25">
      <c r="A103" s="92" t="s">
        <v>161</v>
      </c>
      <c r="B103" s="93">
        <v>46577</v>
      </c>
      <c r="C103" s="93">
        <v>42343</v>
      </c>
      <c r="D103" s="93">
        <v>40649</v>
      </c>
      <c r="E103" s="93">
        <v>35677</v>
      </c>
      <c r="F103" s="93">
        <v>28831</v>
      </c>
      <c r="G103" s="93">
        <v>22059</v>
      </c>
    </row>
    <row r="104" spans="1:7" x14ac:dyDescent="0.25">
      <c r="A104" s="92" t="s">
        <v>162</v>
      </c>
      <c r="B104" s="93">
        <v>54391</v>
      </c>
      <c r="C104" s="93">
        <v>49446</v>
      </c>
      <c r="D104" s="93">
        <v>47468</v>
      </c>
      <c r="E104" s="93">
        <v>42509</v>
      </c>
      <c r="F104" s="93">
        <v>35424</v>
      </c>
      <c r="G104" s="93">
        <v>28206</v>
      </c>
    </row>
    <row r="105" spans="1:7" x14ac:dyDescent="0.25">
      <c r="A105" s="92" t="s">
        <v>163</v>
      </c>
      <c r="B105" s="93">
        <v>13293</v>
      </c>
      <c r="C105" s="93">
        <v>12085</v>
      </c>
      <c r="D105" s="93">
        <v>11601</v>
      </c>
      <c r="E105" s="93">
        <v>10722</v>
      </c>
      <c r="F105" s="93">
        <v>9348</v>
      </c>
      <c r="G105" s="93">
        <v>7904</v>
      </c>
    </row>
    <row r="106" spans="1:7" x14ac:dyDescent="0.25">
      <c r="A106" s="92" t="s">
        <v>164</v>
      </c>
      <c r="B106" s="93">
        <v>26586</v>
      </c>
      <c r="C106" s="93">
        <v>24170</v>
      </c>
      <c r="D106" s="93">
        <v>23203</v>
      </c>
      <c r="E106" s="93">
        <v>21397</v>
      </c>
      <c r="F106" s="93">
        <v>18598</v>
      </c>
      <c r="G106" s="93">
        <v>15756</v>
      </c>
    </row>
    <row r="107" spans="1:7" x14ac:dyDescent="0.25">
      <c r="A107" s="92" t="s">
        <v>165</v>
      </c>
      <c r="B107" s="93">
        <v>41199</v>
      </c>
      <c r="C107" s="93">
        <v>37454</v>
      </c>
      <c r="D107" s="93">
        <v>35955</v>
      </c>
      <c r="E107" s="93">
        <v>33163</v>
      </c>
      <c r="F107" s="93">
        <v>28831</v>
      </c>
      <c r="G107" s="93">
        <v>24435</v>
      </c>
    </row>
    <row r="108" spans="1:7" x14ac:dyDescent="0.25">
      <c r="A108" s="92" t="s">
        <v>166</v>
      </c>
      <c r="B108" s="93">
        <v>36509</v>
      </c>
      <c r="C108" s="93">
        <v>30826</v>
      </c>
      <c r="D108" s="93">
        <v>28553</v>
      </c>
      <c r="E108" s="93">
        <v>25143</v>
      </c>
      <c r="F108" s="93">
        <v>19456</v>
      </c>
      <c r="G108" s="93">
        <v>13737</v>
      </c>
    </row>
    <row r="121" spans="1:1" x14ac:dyDescent="0.25">
      <c r="A121" s="43"/>
    </row>
    <row r="122" spans="1:1" x14ac:dyDescent="0.25">
      <c r="A122" s="43"/>
    </row>
    <row r="123" spans="1:1" x14ac:dyDescent="0.25">
      <c r="A123" s="43"/>
    </row>
    <row r="124" spans="1:1" x14ac:dyDescent="0.25">
      <c r="A124" s="43"/>
    </row>
    <row r="125" spans="1:1" x14ac:dyDescent="0.25">
      <c r="A125" s="43"/>
    </row>
    <row r="126" spans="1:1" x14ac:dyDescent="0.25">
      <c r="A126" s="43"/>
    </row>
    <row r="127" spans="1:1" x14ac:dyDescent="0.25">
      <c r="A127" s="43"/>
    </row>
    <row r="132" spans="1:1" x14ac:dyDescent="0.25">
      <c r="A132" s="43"/>
    </row>
    <row r="133" spans="1:1" x14ac:dyDescent="0.25">
      <c r="A133" s="43"/>
    </row>
    <row r="134" spans="1:1" x14ac:dyDescent="0.25">
      <c r="A134" s="43"/>
    </row>
    <row r="135" spans="1:1" x14ac:dyDescent="0.25">
      <c r="A135" s="43"/>
    </row>
    <row r="136" spans="1:1" x14ac:dyDescent="0.25">
      <c r="A136" s="43"/>
    </row>
    <row r="137" spans="1:1" x14ac:dyDescent="0.25">
      <c r="A137" s="43"/>
    </row>
    <row r="138" spans="1:1" x14ac:dyDescent="0.25">
      <c r="A138" s="43"/>
    </row>
    <row r="143" spans="1:1" x14ac:dyDescent="0.25">
      <c r="A143" s="43"/>
    </row>
    <row r="144" spans="1:1" x14ac:dyDescent="0.25">
      <c r="A144" s="43"/>
    </row>
    <row r="145" spans="1:1" x14ac:dyDescent="0.25">
      <c r="A145" s="43"/>
    </row>
    <row r="146" spans="1:1" x14ac:dyDescent="0.25">
      <c r="A146" s="43"/>
    </row>
    <row r="147" spans="1:1" x14ac:dyDescent="0.25">
      <c r="A147" s="43"/>
    </row>
    <row r="148" spans="1:1" x14ac:dyDescent="0.25">
      <c r="A148" s="43"/>
    </row>
    <row r="149" spans="1:1" x14ac:dyDescent="0.25">
      <c r="A149" s="43"/>
    </row>
    <row r="154" spans="1:1" x14ac:dyDescent="0.25">
      <c r="A154" s="43"/>
    </row>
    <row r="155" spans="1:1" x14ac:dyDescent="0.25">
      <c r="A155" s="43"/>
    </row>
    <row r="156" spans="1:1" x14ac:dyDescent="0.25">
      <c r="A156" s="43"/>
    </row>
    <row r="157" spans="1:1" x14ac:dyDescent="0.25">
      <c r="A157" s="43"/>
    </row>
    <row r="158" spans="1:1" x14ac:dyDescent="0.25">
      <c r="A158" s="43"/>
    </row>
    <row r="159" spans="1:1" x14ac:dyDescent="0.25">
      <c r="A159" s="43"/>
    </row>
    <row r="160" spans="1:1" x14ac:dyDescent="0.25">
      <c r="A160" s="43"/>
    </row>
    <row r="165" spans="1:1" x14ac:dyDescent="0.25">
      <c r="A165" s="43"/>
    </row>
    <row r="166" spans="1:1" x14ac:dyDescent="0.25">
      <c r="A166" s="43"/>
    </row>
    <row r="167" spans="1:1" x14ac:dyDescent="0.25">
      <c r="A167" s="43"/>
    </row>
    <row r="168" spans="1:1" x14ac:dyDescent="0.25">
      <c r="A168" s="43"/>
    </row>
    <row r="169" spans="1:1" x14ac:dyDescent="0.25">
      <c r="A169" s="43"/>
    </row>
    <row r="170" spans="1:1" x14ac:dyDescent="0.25">
      <c r="A170" s="43"/>
    </row>
    <row r="171" spans="1:1" x14ac:dyDescent="0.25">
      <c r="A171" s="43"/>
    </row>
    <row r="176" spans="1:1" x14ac:dyDescent="0.25">
      <c r="A176" s="43"/>
    </row>
    <row r="177" spans="1:1" x14ac:dyDescent="0.25">
      <c r="A177" s="43"/>
    </row>
    <row r="178" spans="1:1" x14ac:dyDescent="0.25">
      <c r="A178" s="43"/>
    </row>
    <row r="179" spans="1:1" x14ac:dyDescent="0.25">
      <c r="A179" s="43"/>
    </row>
    <row r="180" spans="1:1" x14ac:dyDescent="0.25">
      <c r="A180" s="43"/>
    </row>
    <row r="181" spans="1:1" x14ac:dyDescent="0.25">
      <c r="A181" s="43"/>
    </row>
    <row r="182" spans="1:1" x14ac:dyDescent="0.25">
      <c r="A182" s="43"/>
    </row>
    <row r="187" spans="1:1" x14ac:dyDescent="0.25">
      <c r="A187" s="43"/>
    </row>
    <row r="188" spans="1:1" x14ac:dyDescent="0.25">
      <c r="A188" s="43"/>
    </row>
    <row r="189" spans="1:1" x14ac:dyDescent="0.25">
      <c r="A189" s="43"/>
    </row>
    <row r="190" spans="1:1" x14ac:dyDescent="0.25">
      <c r="A190" s="43"/>
    </row>
    <row r="191" spans="1:1" x14ac:dyDescent="0.25">
      <c r="A191" s="43"/>
    </row>
    <row r="192" spans="1:1" x14ac:dyDescent="0.25">
      <c r="A192" s="43"/>
    </row>
    <row r="193" spans="1:1" x14ac:dyDescent="0.25">
      <c r="A193" s="43"/>
    </row>
    <row r="197" spans="1:1" x14ac:dyDescent="0.25">
      <c r="A197" s="43"/>
    </row>
    <row r="198" spans="1:1" x14ac:dyDescent="0.25">
      <c r="A198" s="43"/>
    </row>
    <row r="199" spans="1:1" x14ac:dyDescent="0.25">
      <c r="A199" s="43"/>
    </row>
    <row r="200" spans="1:1" x14ac:dyDescent="0.25">
      <c r="A200" s="43"/>
    </row>
    <row r="201" spans="1:1" x14ac:dyDescent="0.25">
      <c r="A201" s="43"/>
    </row>
    <row r="202" spans="1:1" x14ac:dyDescent="0.25">
      <c r="A202" s="43"/>
    </row>
    <row r="203" spans="1:1" x14ac:dyDescent="0.25">
      <c r="A203" s="43"/>
    </row>
    <row r="208" spans="1:1" x14ac:dyDescent="0.25">
      <c r="A208" s="43"/>
    </row>
    <row r="209" spans="1:1" x14ac:dyDescent="0.25">
      <c r="A209" s="43"/>
    </row>
    <row r="210" spans="1:1" x14ac:dyDescent="0.25">
      <c r="A210" s="43"/>
    </row>
    <row r="211" spans="1:1" x14ac:dyDescent="0.25">
      <c r="A211" s="43"/>
    </row>
    <row r="212" spans="1:1" x14ac:dyDescent="0.25">
      <c r="A212" s="43"/>
    </row>
    <row r="213" spans="1:1" x14ac:dyDescent="0.25">
      <c r="A213" s="43"/>
    </row>
    <row r="214" spans="1:1" x14ac:dyDescent="0.25">
      <c r="A214" s="43"/>
    </row>
    <row r="219" spans="1:1" x14ac:dyDescent="0.25">
      <c r="A219" s="43"/>
    </row>
    <row r="220" spans="1:1" x14ac:dyDescent="0.25">
      <c r="A220" s="43"/>
    </row>
    <row r="221" spans="1:1" x14ac:dyDescent="0.25">
      <c r="A221" s="43"/>
    </row>
    <row r="222" spans="1:1" x14ac:dyDescent="0.25">
      <c r="A222" s="43"/>
    </row>
    <row r="223" spans="1:1" x14ac:dyDescent="0.25">
      <c r="A223" s="43"/>
    </row>
    <row r="224" spans="1:1" x14ac:dyDescent="0.25">
      <c r="A224" s="43"/>
    </row>
    <row r="225" spans="1:1" x14ac:dyDescent="0.25">
      <c r="A225" s="43"/>
    </row>
    <row r="230" spans="1:1" x14ac:dyDescent="0.25">
      <c r="A230" s="43"/>
    </row>
    <row r="231" spans="1:1" x14ac:dyDescent="0.25">
      <c r="A231" s="43"/>
    </row>
    <row r="232" spans="1:1" x14ac:dyDescent="0.25">
      <c r="A232" s="43"/>
    </row>
    <row r="233" spans="1:1" x14ac:dyDescent="0.25">
      <c r="A233" s="43"/>
    </row>
    <row r="234" spans="1:1" x14ac:dyDescent="0.25">
      <c r="A234" s="43"/>
    </row>
    <row r="235" spans="1:1" x14ac:dyDescent="0.25">
      <c r="A235" s="43"/>
    </row>
    <row r="236" spans="1:1" x14ac:dyDescent="0.25">
      <c r="A236" s="43"/>
    </row>
    <row r="241" spans="1:1" x14ac:dyDescent="0.25">
      <c r="A241" s="43"/>
    </row>
    <row r="242" spans="1:1" x14ac:dyDescent="0.25">
      <c r="A242" s="43"/>
    </row>
    <row r="243" spans="1:1" x14ac:dyDescent="0.25">
      <c r="A243" s="43"/>
    </row>
    <row r="244" spans="1:1" x14ac:dyDescent="0.25">
      <c r="A244" s="43"/>
    </row>
    <row r="245" spans="1:1" x14ac:dyDescent="0.25">
      <c r="A245" s="43"/>
    </row>
    <row r="246" spans="1:1" x14ac:dyDescent="0.25">
      <c r="A246" s="43"/>
    </row>
    <row r="247" spans="1:1" x14ac:dyDescent="0.25">
      <c r="A247" s="43"/>
    </row>
    <row r="252" spans="1:1" x14ac:dyDescent="0.25">
      <c r="A252" s="43"/>
    </row>
    <row r="253" spans="1:1" x14ac:dyDescent="0.25">
      <c r="A253" s="43"/>
    </row>
    <row r="254" spans="1:1" x14ac:dyDescent="0.25">
      <c r="A254" s="43"/>
    </row>
    <row r="255" spans="1:1" x14ac:dyDescent="0.25">
      <c r="A255" s="43"/>
    </row>
    <row r="256" spans="1:1" x14ac:dyDescent="0.25">
      <c r="A256" s="43"/>
    </row>
    <row r="257" spans="1:1" x14ac:dyDescent="0.25">
      <c r="A257" s="43"/>
    </row>
    <row r="258" spans="1:1" x14ac:dyDescent="0.25">
      <c r="A258" s="43"/>
    </row>
    <row r="263" spans="1:1" x14ac:dyDescent="0.25">
      <c r="A263" s="43"/>
    </row>
    <row r="264" spans="1:1" x14ac:dyDescent="0.25">
      <c r="A264" s="43"/>
    </row>
    <row r="265" spans="1:1" x14ac:dyDescent="0.25">
      <c r="A265" s="43"/>
    </row>
    <row r="266" spans="1:1" x14ac:dyDescent="0.25">
      <c r="A266" s="43"/>
    </row>
    <row r="267" spans="1:1" x14ac:dyDescent="0.25">
      <c r="A267" s="43"/>
    </row>
    <row r="268" spans="1:1" x14ac:dyDescent="0.25">
      <c r="A268" s="43"/>
    </row>
    <row r="269" spans="1:1" x14ac:dyDescent="0.25">
      <c r="A269" s="43"/>
    </row>
    <row r="274" spans="1:1" x14ac:dyDescent="0.25">
      <c r="A274" s="43"/>
    </row>
    <row r="275" spans="1:1" x14ac:dyDescent="0.25">
      <c r="A275" s="43"/>
    </row>
    <row r="276" spans="1:1" x14ac:dyDescent="0.25">
      <c r="A276" s="43"/>
    </row>
    <row r="277" spans="1:1" x14ac:dyDescent="0.25">
      <c r="A277" s="43"/>
    </row>
    <row r="278" spans="1:1" x14ac:dyDescent="0.25">
      <c r="A278" s="43"/>
    </row>
    <row r="279" spans="1:1" x14ac:dyDescent="0.25">
      <c r="A279" s="43"/>
    </row>
    <row r="280" spans="1:1" x14ac:dyDescent="0.25">
      <c r="A280" s="43"/>
    </row>
    <row r="285" spans="1:1" x14ac:dyDescent="0.25">
      <c r="A285" s="43"/>
    </row>
    <row r="286" spans="1:1" x14ac:dyDescent="0.25">
      <c r="A286" s="43"/>
    </row>
    <row r="287" spans="1:1" x14ac:dyDescent="0.25">
      <c r="A287" s="43"/>
    </row>
    <row r="288" spans="1:1" x14ac:dyDescent="0.25">
      <c r="A288" s="43"/>
    </row>
    <row r="289" spans="1:1" x14ac:dyDescent="0.25">
      <c r="A289" s="43"/>
    </row>
    <row r="290" spans="1:1" x14ac:dyDescent="0.25">
      <c r="A290" s="43"/>
    </row>
    <row r="291" spans="1:1" x14ac:dyDescent="0.25">
      <c r="A291" s="43"/>
    </row>
    <row r="296" spans="1:1" x14ac:dyDescent="0.25">
      <c r="A296" s="43"/>
    </row>
    <row r="297" spans="1:1" x14ac:dyDescent="0.25">
      <c r="A297" s="43"/>
    </row>
    <row r="298" spans="1:1" x14ac:dyDescent="0.25">
      <c r="A298" s="43"/>
    </row>
    <row r="299" spans="1:1" x14ac:dyDescent="0.25">
      <c r="A299" s="43"/>
    </row>
    <row r="300" spans="1:1" x14ac:dyDescent="0.25">
      <c r="A300" s="43"/>
    </row>
    <row r="301" spans="1:1" x14ac:dyDescent="0.25">
      <c r="A301" s="43"/>
    </row>
    <row r="302" spans="1:1" x14ac:dyDescent="0.25">
      <c r="A302" s="43"/>
    </row>
    <row r="307" spans="1:1" x14ac:dyDescent="0.25">
      <c r="A307" s="43"/>
    </row>
    <row r="308" spans="1:1" x14ac:dyDescent="0.25">
      <c r="A308" s="43"/>
    </row>
    <row r="309" spans="1:1" x14ac:dyDescent="0.25">
      <c r="A309" s="43"/>
    </row>
    <row r="310" spans="1:1" x14ac:dyDescent="0.25">
      <c r="A310" s="43"/>
    </row>
    <row r="311" spans="1:1" x14ac:dyDescent="0.25">
      <c r="A311" s="43"/>
    </row>
    <row r="312" spans="1:1" x14ac:dyDescent="0.25">
      <c r="A312" s="43"/>
    </row>
    <row r="313" spans="1:1" x14ac:dyDescent="0.25">
      <c r="A313" s="43"/>
    </row>
    <row r="318" spans="1:1" x14ac:dyDescent="0.25">
      <c r="A318" s="43"/>
    </row>
    <row r="319" spans="1:1" x14ac:dyDescent="0.25">
      <c r="A319" s="43"/>
    </row>
    <row r="320" spans="1:1" x14ac:dyDescent="0.25">
      <c r="A320" s="43"/>
    </row>
    <row r="321" spans="1:1" x14ac:dyDescent="0.25">
      <c r="A321" s="43"/>
    </row>
    <row r="322" spans="1:1" x14ac:dyDescent="0.25">
      <c r="A322" s="43"/>
    </row>
    <row r="323" spans="1:1" x14ac:dyDescent="0.25">
      <c r="A323" s="43"/>
    </row>
    <row r="324" spans="1:1" x14ac:dyDescent="0.25">
      <c r="A324" s="43"/>
    </row>
    <row r="329" spans="1:1" x14ac:dyDescent="0.25">
      <c r="A329" s="43"/>
    </row>
    <row r="330" spans="1:1" x14ac:dyDescent="0.25">
      <c r="A330" s="43"/>
    </row>
    <row r="331" spans="1:1" x14ac:dyDescent="0.25">
      <c r="A331" s="43"/>
    </row>
    <row r="332" spans="1:1" x14ac:dyDescent="0.25">
      <c r="A332" s="43"/>
    </row>
    <row r="333" spans="1:1" x14ac:dyDescent="0.25">
      <c r="A333" s="43"/>
    </row>
    <row r="334" spans="1:1" x14ac:dyDescent="0.25">
      <c r="A334" s="43"/>
    </row>
    <row r="335" spans="1:1" x14ac:dyDescent="0.25">
      <c r="A335" s="43"/>
    </row>
    <row r="340" spans="1:1" x14ac:dyDescent="0.25">
      <c r="A340" s="43"/>
    </row>
    <row r="341" spans="1:1" x14ac:dyDescent="0.25">
      <c r="A341" s="43"/>
    </row>
    <row r="342" spans="1:1" x14ac:dyDescent="0.25">
      <c r="A342" s="43"/>
    </row>
    <row r="343" spans="1:1" x14ac:dyDescent="0.25">
      <c r="A343" s="43"/>
    </row>
    <row r="344" spans="1:1" x14ac:dyDescent="0.25">
      <c r="A344" s="43"/>
    </row>
    <row r="345" spans="1:1" x14ac:dyDescent="0.25">
      <c r="A345" s="43"/>
    </row>
    <row r="346" spans="1:1" x14ac:dyDescent="0.25">
      <c r="A346" s="43"/>
    </row>
    <row r="351" spans="1:1" x14ac:dyDescent="0.25">
      <c r="A351" s="43"/>
    </row>
    <row r="352" spans="1:1" x14ac:dyDescent="0.25">
      <c r="A352" s="43"/>
    </row>
    <row r="353" spans="1:1" x14ac:dyDescent="0.25">
      <c r="A353" s="43"/>
    </row>
    <row r="354" spans="1:1" x14ac:dyDescent="0.25">
      <c r="A354" s="43"/>
    </row>
    <row r="355" spans="1:1" x14ac:dyDescent="0.25">
      <c r="A355" s="43"/>
    </row>
    <row r="356" spans="1:1" x14ac:dyDescent="0.25">
      <c r="A356" s="43"/>
    </row>
    <row r="357" spans="1:1" x14ac:dyDescent="0.25">
      <c r="A357" s="43"/>
    </row>
    <row r="362" spans="1:1" x14ac:dyDescent="0.25">
      <c r="A362" s="43"/>
    </row>
    <row r="363" spans="1:1" x14ac:dyDescent="0.25">
      <c r="A363" s="43"/>
    </row>
    <row r="364" spans="1:1" x14ac:dyDescent="0.25">
      <c r="A364" s="43"/>
    </row>
    <row r="365" spans="1:1" x14ac:dyDescent="0.25">
      <c r="A365" s="43"/>
    </row>
    <row r="366" spans="1:1" x14ac:dyDescent="0.25">
      <c r="A366" s="43"/>
    </row>
    <row r="367" spans="1:1" x14ac:dyDescent="0.25">
      <c r="A367" s="43"/>
    </row>
    <row r="368" spans="1:1" x14ac:dyDescent="0.25">
      <c r="A368" s="43"/>
    </row>
    <row r="373" spans="1:1" x14ac:dyDescent="0.25">
      <c r="A373" s="43"/>
    </row>
    <row r="374" spans="1:1" x14ac:dyDescent="0.25">
      <c r="A374" s="43"/>
    </row>
    <row r="375" spans="1:1" x14ac:dyDescent="0.25">
      <c r="A375" s="43"/>
    </row>
    <row r="376" spans="1:1" x14ac:dyDescent="0.25">
      <c r="A376" s="43"/>
    </row>
    <row r="377" spans="1:1" x14ac:dyDescent="0.25">
      <c r="A377" s="43"/>
    </row>
    <row r="378" spans="1:1" x14ac:dyDescent="0.25">
      <c r="A378" s="43"/>
    </row>
    <row r="379" spans="1:1" x14ac:dyDescent="0.25">
      <c r="A379" s="43"/>
    </row>
    <row r="384" spans="1:1" x14ac:dyDescent="0.25">
      <c r="A384" s="43"/>
    </row>
    <row r="385" spans="1:1" x14ac:dyDescent="0.25">
      <c r="A385" s="43"/>
    </row>
    <row r="386" spans="1:1" x14ac:dyDescent="0.25">
      <c r="A386" s="43"/>
    </row>
    <row r="387" spans="1:1" x14ac:dyDescent="0.25">
      <c r="A387" s="43"/>
    </row>
    <row r="388" spans="1:1" x14ac:dyDescent="0.25">
      <c r="A388" s="43"/>
    </row>
    <row r="389" spans="1:1" x14ac:dyDescent="0.25">
      <c r="A389" s="43"/>
    </row>
    <row r="390" spans="1:1" x14ac:dyDescent="0.25">
      <c r="A390" s="43"/>
    </row>
    <row r="395" spans="1:1" x14ac:dyDescent="0.25">
      <c r="A395" s="43"/>
    </row>
    <row r="396" spans="1:1" x14ac:dyDescent="0.25">
      <c r="A396" s="43"/>
    </row>
    <row r="397" spans="1:1" x14ac:dyDescent="0.25">
      <c r="A397" s="43"/>
    </row>
    <row r="398" spans="1:1" x14ac:dyDescent="0.25">
      <c r="A398" s="43"/>
    </row>
    <row r="399" spans="1:1" x14ac:dyDescent="0.25">
      <c r="A399" s="43"/>
    </row>
    <row r="400" spans="1:1" x14ac:dyDescent="0.25">
      <c r="A400" s="43"/>
    </row>
    <row r="401" spans="1:1" x14ac:dyDescent="0.25">
      <c r="A401" s="43"/>
    </row>
    <row r="406" spans="1:1" x14ac:dyDescent="0.25">
      <c r="A406" s="43"/>
    </row>
    <row r="407" spans="1:1" x14ac:dyDescent="0.25">
      <c r="A407" s="43"/>
    </row>
    <row r="408" spans="1:1" x14ac:dyDescent="0.25">
      <c r="A408" s="43"/>
    </row>
    <row r="409" spans="1:1" x14ac:dyDescent="0.25">
      <c r="A409" s="43"/>
    </row>
    <row r="410" spans="1:1" x14ac:dyDescent="0.25">
      <c r="A410" s="43"/>
    </row>
    <row r="411" spans="1:1" x14ac:dyDescent="0.25">
      <c r="A411" s="43"/>
    </row>
    <row r="412" spans="1:1" x14ac:dyDescent="0.25">
      <c r="A412" s="43"/>
    </row>
    <row r="417" spans="1:1" x14ac:dyDescent="0.25">
      <c r="A417" s="43"/>
    </row>
    <row r="418" spans="1:1" x14ac:dyDescent="0.25">
      <c r="A418" s="43"/>
    </row>
    <row r="419" spans="1:1" x14ac:dyDescent="0.25">
      <c r="A419" s="43"/>
    </row>
    <row r="420" spans="1:1" x14ac:dyDescent="0.25">
      <c r="A420" s="43"/>
    </row>
    <row r="421" spans="1:1" x14ac:dyDescent="0.25">
      <c r="A421" s="43"/>
    </row>
    <row r="422" spans="1:1" x14ac:dyDescent="0.25">
      <c r="A422" s="43"/>
    </row>
    <row r="423" spans="1:1" x14ac:dyDescent="0.25">
      <c r="A423" s="43"/>
    </row>
  </sheetData>
  <sheetProtection algorithmName="SHA-512" hashValue="GD9KB2MvaBtDsH+ziTyZ8OOibO7IfwbU1EHpnssdfXoymOv4nl2SUMoO9ugIS8tbRERLyXoOJNQLxOwdLvTnFQ==" saltValue="i4a0rzs9JpiadMTSg/6GbQ==" spinCount="100000" sheet="1" objects="1" scenarios="1"/>
  <mergeCells count="3">
    <mergeCell ref="O1:S1"/>
    <mergeCell ref="O2:Q2"/>
    <mergeCell ref="O24:R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5LzIwMTkgNjowMTo1MSBQTTwvRGF0ZVRpbWU+PExhYmVsU3RyaW5nPlVucmVzdHJpY3R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6B1F9356-A3E6-4ABF-9952-AAA1E0C4747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484CF27-9F14-4331-BC0E-4779C1BEA4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Input Rating &lt;= 12 kW</vt:lpstr>
      <vt:lpstr>Input Rating &gt; 12 kW</vt:lpstr>
      <vt:lpstr>Lookup</vt:lpstr>
      <vt:lpstr>CF</vt:lpstr>
      <vt:lpstr>EF</vt:lpstr>
      <vt:lpstr>EFLH</vt:lpstr>
      <vt:lpstr>FacilityType</vt:lpstr>
      <vt:lpstr>HWPerSqFt</vt:lpstr>
      <vt:lpstr>M</vt:lpstr>
      <vt:lpstr>MissingValues</vt:lpstr>
      <vt:lpstr>'Input Rating &lt;= 12 kW'!Print_Area</vt:lpstr>
      <vt:lpstr>'Input Rating &gt; 12 kW'!Print_Area</vt:lpstr>
      <vt:lpstr>Quantity</vt:lpstr>
      <vt:lpstr>SolarFraction</vt:lpstr>
      <vt:lpstr>SqFt</vt:lpstr>
      <vt:lpstr>Volume_BaseERWH</vt:lpstr>
      <vt:lpstr>WaterTemp_Inlet</vt:lpstr>
      <vt:lpstr>WaterTemp_Outlet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Ngo, Vinh-Phong N. [US-US]</cp:lastModifiedBy>
  <cp:lastPrinted>2019-06-24T18:15:03Z</cp:lastPrinted>
  <dcterms:created xsi:type="dcterms:W3CDTF">2009-11-18T18:04:29Z</dcterms:created>
  <dcterms:modified xsi:type="dcterms:W3CDTF">2023-06-30T01:41:59Z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a0748da0-cf90-4b93-a9cf-fea72ad1610c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{6B1F9356-A3E6-4ABF-9952-AAA1E0C4747B}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2022-06-21T03:09:00Z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3a0bda17-fa9f-4a87-b87a-4c4d655b5636</vt:lpwstr>
  </property>
  <property fmtid="{D5CDD505-2E9C-101B-9397-08002B2CF9AE}" pid="14" name="MSIP_Label_c968a81f-7ed4-4faa-9408-9652e001dd96_ContentBits">
    <vt:lpwstr>0</vt:lpwstr>
  </property>
</Properties>
</file>