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ngovn\Documents\"/>
    </mc:Choice>
  </mc:AlternateContent>
  <xr:revisionPtr revIDLastSave="0" documentId="13_ncr:1_{7E87E60E-97B0-4BAF-BDAD-9DB23EEA8676}" xr6:coauthVersionLast="47" xr6:coauthVersionMax="47" xr10:uidLastSave="{00000000-0000-0000-0000-000000000000}"/>
  <workbookProtection workbookAlgorithmName="SHA-512" workbookHashValue="1RhzMQ2m5UC4Ln7Y9v8RHBkn51nz42MGlFiewAAO4fraeJV15LDDAAUlum3w3pwl8j+3SwnKqTkpxz6YfjAFqA==" workbookSaltValue="EkatmB7QdJttsz4+PADgig==" workbookSpinCount="100000" lockStructure="1"/>
  <bookViews>
    <workbookView xWindow="-120" yWindow="-120" windowWidth="29040" windowHeight="15840" tabRatio="665" xr2:uid="{00000000-000D-0000-FFFF-FFFF00000000}"/>
  </bookViews>
  <sheets>
    <sheet name="Program Rules &amp; Worksheet Tips" sheetId="8" r:id="rId1"/>
    <sheet name="Lighting Input" sheetId="1" r:id="rId2"/>
    <sheet name="Overview" sheetId="7" r:id="rId3"/>
    <sheet name="Financial Review Total Project" sheetId="4" r:id="rId4"/>
    <sheet name="Avoided Cost Table" sheetId="9" state="hidden" r:id="rId5"/>
    <sheet name="Lookup Tables" sheetId="5" state="hidden" r:id="rId6"/>
    <sheet name="Effective Rates" sheetId="6" state="hidden" r:id="rId7"/>
  </sheets>
  <definedNames>
    <definedName name="Area">'Lighting Input'!$C$11</definedName>
    <definedName name="Base_Energy">'Lighting Input'!$Y$50</definedName>
    <definedName name="Base_MaintenanceCost">'Lighting Input'!$H$10</definedName>
    <definedName name="Base_OperatingHours">'Lighting Input'!$X$50</definedName>
    <definedName name="Base_PeakDemand">'Lighting Input'!$W$50</definedName>
    <definedName name="Base_TotalDemand">'Lighting Input'!$V$50</definedName>
    <definedName name="County">'Financial Review Total Project'!$F$18</definedName>
    <definedName name="DemandIncentive">'Lighting Input'!$H$5</definedName>
    <definedName name="DollarPerkW_Hawaii">'Avoided Cost Table'!$K$3:$K$27</definedName>
    <definedName name="DollarPerkW_Maui">'Avoided Cost Table'!$J$3:$J$27</definedName>
    <definedName name="DollarPerkW_Oahu">'Avoided Cost Table'!$I$3:$I$27</definedName>
    <definedName name="DollarPerkWh_Hawaii">'Avoided Cost Table'!$N$3:$N$27</definedName>
    <definedName name="DollarPerkWh_Maui">'Avoided Cost Table'!$M$3:$M$27</definedName>
    <definedName name="DollarPerkWh_Oahu">'Avoided Cost Table'!$L$3:$L$27</definedName>
    <definedName name="EffectiveDemandRate">'Lighting Input'!$H$7</definedName>
    <definedName name="EffectiveEnergyRate">'Lighting Input'!$H$8</definedName>
    <definedName name="EnergyIncentive">'Lighting Input'!$H$6</definedName>
    <definedName name="Enhanced_Energy">'Lighting Input'!$Z$84</definedName>
    <definedName name="Enhanced_MaintenanceCost">'Lighting Input'!$H$11</definedName>
    <definedName name="Enhanced_OperatingHours">'Lighting Input'!$Y$84</definedName>
    <definedName name="Enhanced_PeakDemand">'Lighting Input'!$X$84</definedName>
    <definedName name="Enhanced_TotalDemand">'Lighting Input'!$W$84</definedName>
    <definedName name="FirstYearEnergySavings">'Lighting Input'!$N$6</definedName>
    <definedName name="Island">'Lighting Input'!$C$8</definedName>
    <definedName name="IslandLosses">'Financial Review Total Project'!$I$4:$J$8</definedName>
    <definedName name="Lookup_AC">'Lookup Tables'!$D$24:$D$25</definedName>
    <definedName name="Lookup_EffectiveRate">'Effective Rates'!$B$6:$F$55</definedName>
    <definedName name="Lookup_FacilityType">'Lookup Tables'!$D$12:$D$21</definedName>
    <definedName name="Lookup_FixtureType">'Lookup Tables'!$B$17:$B$24</definedName>
    <definedName name="Lookup_Island">'Lookup Tables'!$B$4:$B$8</definedName>
    <definedName name="Lookup_Location">'Lookup Tables'!$B$11:$B$14</definedName>
    <definedName name="Lookup_RateSchedule">'Lookup Tables'!$D$4:$D$8</definedName>
    <definedName name="MeasureLife">'Lighting Input'!$T$5</definedName>
    <definedName name="_xlnm.Print_Area" localSheetId="1">'Lighting Input'!$A$1:$AA$109</definedName>
    <definedName name="Project_Type">'Lookup Tables'!$F$22:$F$23</definedName>
    <definedName name="SytemLife">'Financial Review Total Project'!#REF!</definedName>
    <definedName name="TotalProjectCost">'Lighting Input'!$H$14</definedName>
    <definedName name="YearCompleted">'Lighting Input'!$C$12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1" l="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54" i="1"/>
  <c r="I12" i="7" l="1"/>
  <c r="F22" i="4" l="1"/>
  <c r="T6" i="1" l="1"/>
  <c r="U23" i="1" l="1"/>
  <c r="V23" i="1" s="1"/>
  <c r="AG57" i="1" s="1"/>
  <c r="AE57" i="1" l="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54" i="1"/>
  <c r="H7" i="1" l="1"/>
  <c r="F18" i="4" l="1"/>
  <c r="H8" i="1" l="1"/>
  <c r="X20" i="1" l="1"/>
  <c r="E55" i="1" l="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54" i="1"/>
  <c r="AD78" i="1" l="1"/>
  <c r="AB78" i="1"/>
  <c r="AB66" i="1"/>
  <c r="AD66" i="1"/>
  <c r="AB68" i="1"/>
  <c r="AD68" i="1"/>
  <c r="AF68" i="1" s="1"/>
  <c r="AH68" i="1" s="1"/>
  <c r="AJ68" i="1" s="1"/>
  <c r="AB63" i="1"/>
  <c r="AD63" i="1"/>
  <c r="AF63" i="1" s="1"/>
  <c r="AH63" i="1" s="1"/>
  <c r="AJ63" i="1" s="1"/>
  <c r="AD56" i="1"/>
  <c r="AB56" i="1"/>
  <c r="AD65" i="1"/>
  <c r="AF65" i="1" s="1"/>
  <c r="AH65" i="1" s="1"/>
  <c r="AJ65" i="1" s="1"/>
  <c r="AB65" i="1"/>
  <c r="AB74" i="1"/>
  <c r="AD74" i="1"/>
  <c r="AF74" i="1" s="1"/>
  <c r="AH74" i="1" s="1"/>
  <c r="AJ74" i="1" s="1"/>
  <c r="AD62" i="1"/>
  <c r="AF62" i="1" s="1"/>
  <c r="AH62" i="1" s="1"/>
  <c r="AJ62" i="1" s="1"/>
  <c r="AB62" i="1"/>
  <c r="AB73" i="1"/>
  <c r="AD73" i="1"/>
  <c r="AF73" i="1" s="1"/>
  <c r="AH73" i="1" s="1"/>
  <c r="AJ73" i="1" s="1"/>
  <c r="AB61" i="1"/>
  <c r="AD61" i="1"/>
  <c r="AD80" i="1"/>
  <c r="AB80" i="1"/>
  <c r="AD77" i="1"/>
  <c r="AB77" i="1"/>
  <c r="AB75" i="1"/>
  <c r="AD75" i="1"/>
  <c r="AF75" i="1" s="1"/>
  <c r="AH75" i="1" s="1"/>
  <c r="AJ75" i="1" s="1"/>
  <c r="AB72" i="1"/>
  <c r="AD72" i="1"/>
  <c r="AB60" i="1"/>
  <c r="AD60" i="1"/>
  <c r="AF60" i="1" s="1"/>
  <c r="AH60" i="1" s="1"/>
  <c r="AJ60" i="1" s="1"/>
  <c r="AD67" i="1"/>
  <c r="AB67" i="1"/>
  <c r="AD76" i="1"/>
  <c r="AB76" i="1"/>
  <c r="AD71" i="1"/>
  <c r="AB71" i="1"/>
  <c r="AD59" i="1"/>
  <c r="AB59" i="1"/>
  <c r="AD79" i="1"/>
  <c r="AB79" i="1"/>
  <c r="AD64" i="1"/>
  <c r="AF64" i="1" s="1"/>
  <c r="AH64" i="1" s="1"/>
  <c r="AJ64" i="1" s="1"/>
  <c r="AB64" i="1"/>
  <c r="AD83" i="1"/>
  <c r="AB83" i="1"/>
  <c r="AD82" i="1"/>
  <c r="AB82" i="1"/>
  <c r="AD70" i="1"/>
  <c r="AB70" i="1"/>
  <c r="AD58" i="1"/>
  <c r="AF58" i="1" s="1"/>
  <c r="AH58" i="1" s="1"/>
  <c r="AJ58" i="1" s="1"/>
  <c r="AB58" i="1"/>
  <c r="AD81" i="1"/>
  <c r="AB81" i="1"/>
  <c r="AD69" i="1"/>
  <c r="AB69" i="1"/>
  <c r="AD57" i="1"/>
  <c r="AF57" i="1" s="1"/>
  <c r="AH57" i="1" s="1"/>
  <c r="AJ57" i="1" s="1"/>
  <c r="AB57" i="1"/>
  <c r="AD54" i="1"/>
  <c r="AF54" i="1" s="1"/>
  <c r="AH54" i="1" s="1"/>
  <c r="AJ54" i="1" s="1"/>
  <c r="AB54" i="1"/>
  <c r="AD55" i="1"/>
  <c r="AF55" i="1" s="1"/>
  <c r="AH55" i="1" s="1"/>
  <c r="AJ55" i="1" s="1"/>
  <c r="AB55" i="1"/>
  <c r="AF79" i="1"/>
  <c r="AH79" i="1" s="1"/>
  <c r="AJ79" i="1" s="1"/>
  <c r="AF78" i="1"/>
  <c r="AH78" i="1" s="1"/>
  <c r="AJ78" i="1" s="1"/>
  <c r="AF66" i="1"/>
  <c r="AH66" i="1" s="1"/>
  <c r="AJ66" i="1" s="1"/>
  <c r="AF77" i="1"/>
  <c r="AH77" i="1" s="1"/>
  <c r="AJ77" i="1" s="1"/>
  <c r="AF69" i="1"/>
  <c r="AH69" i="1" s="1"/>
  <c r="AJ69" i="1" s="1"/>
  <c r="AF56" i="1"/>
  <c r="AH56" i="1" s="1"/>
  <c r="AJ56" i="1" s="1"/>
  <c r="AF76" i="1"/>
  <c r="AH76" i="1" s="1"/>
  <c r="AJ76" i="1" s="1"/>
  <c r="AF61" i="1"/>
  <c r="AH61" i="1" s="1"/>
  <c r="AJ61" i="1" s="1"/>
  <c r="AF72" i="1"/>
  <c r="AH72" i="1" s="1"/>
  <c r="AJ72" i="1" s="1"/>
  <c r="AF82" i="1"/>
  <c r="AH82" i="1" s="1"/>
  <c r="AJ82" i="1" s="1"/>
  <c r="AF70" i="1"/>
  <c r="AH70" i="1" s="1"/>
  <c r="AJ70" i="1" s="1"/>
  <c r="AF81" i="1"/>
  <c r="AH81" i="1" s="1"/>
  <c r="AJ81" i="1" s="1"/>
  <c r="AF80" i="1"/>
  <c r="AH80" i="1" s="1"/>
  <c r="AJ80" i="1" s="1"/>
  <c r="AF67" i="1"/>
  <c r="AH67" i="1" s="1"/>
  <c r="AJ67" i="1" s="1"/>
  <c r="AF83" i="1"/>
  <c r="AH83" i="1" s="1"/>
  <c r="AJ83" i="1" s="1"/>
  <c r="AF71" i="1"/>
  <c r="AH71" i="1" s="1"/>
  <c r="AJ71" i="1" s="1"/>
  <c r="AF59" i="1"/>
  <c r="AH59" i="1" s="1"/>
  <c r="AJ59" i="1" s="1"/>
  <c r="AY78" i="1"/>
  <c r="AX78" i="1"/>
  <c r="AY77" i="1"/>
  <c r="AX77" i="1"/>
  <c r="AY80" i="1"/>
  <c r="AX80" i="1"/>
  <c r="AY76" i="1"/>
  <c r="AX76" i="1"/>
  <c r="AY75" i="1"/>
  <c r="AX75" i="1"/>
  <c r="AY74" i="1"/>
  <c r="AX74" i="1"/>
  <c r="AY54" i="1"/>
  <c r="AX54" i="1"/>
  <c r="AY83" i="1"/>
  <c r="AX83" i="1"/>
  <c r="AY82" i="1"/>
  <c r="AX82" i="1"/>
  <c r="AY81" i="1"/>
  <c r="AX81" i="1"/>
  <c r="AY79" i="1"/>
  <c r="AX79" i="1"/>
  <c r="AY55" i="1"/>
  <c r="AX55" i="1"/>
  <c r="AY62" i="1"/>
  <c r="AX62" i="1"/>
  <c r="AY64" i="1"/>
  <c r="AX64" i="1"/>
  <c r="AX70" i="1"/>
  <c r="AY70" i="1"/>
  <c r="AX68" i="1"/>
  <c r="AY68" i="1"/>
  <c r="AY59" i="1"/>
  <c r="AX59" i="1"/>
  <c r="AY66" i="1"/>
  <c r="AX66" i="1"/>
  <c r="AY58" i="1"/>
  <c r="AX58" i="1"/>
  <c r="AY72" i="1"/>
  <c r="AX72" i="1"/>
  <c r="AX71" i="1"/>
  <c r="AY71" i="1"/>
  <c r="AX69" i="1"/>
  <c r="AY69" i="1"/>
  <c r="AX61" i="1"/>
  <c r="AY61" i="1"/>
  <c r="AX60" i="1"/>
  <c r="AY60" i="1"/>
  <c r="AX67" i="1"/>
  <c r="AY67" i="1"/>
  <c r="AY73" i="1"/>
  <c r="AX73" i="1"/>
  <c r="AY65" i="1"/>
  <c r="AX65" i="1"/>
  <c r="AY57" i="1"/>
  <c r="AX57" i="1"/>
  <c r="AY63" i="1"/>
  <c r="AX63" i="1"/>
  <c r="AX56" i="1"/>
  <c r="AY56" i="1"/>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AP54" i="1" l="1"/>
  <c r="Y54" i="1"/>
  <c r="AS54" i="1" s="1"/>
  <c r="AT54" i="1" s="1"/>
  <c r="H16" i="7" l="1"/>
  <c r="H11" i="7" l="1"/>
  <c r="H15" i="7" l="1"/>
  <c r="H22" i="7"/>
  <c r="U20" i="1"/>
  <c r="V54" i="1"/>
  <c r="W54" i="1" s="1"/>
  <c r="AL54" i="1" s="1"/>
  <c r="I30" i="7"/>
  <c r="I17" i="7"/>
  <c r="I18" i="7"/>
  <c r="F20" i="7"/>
  <c r="G20" i="7"/>
  <c r="G23" i="7"/>
  <c r="I34" i="7" s="1"/>
  <c r="Y73" i="1"/>
  <c r="AS73" i="1" s="1"/>
  <c r="AT73" i="1" s="1"/>
  <c r="Y74" i="1"/>
  <c r="AS74" i="1" s="1"/>
  <c r="AT74" i="1" s="1"/>
  <c r="Y75" i="1"/>
  <c r="AS75" i="1" s="1"/>
  <c r="AT75" i="1" s="1"/>
  <c r="Y76" i="1"/>
  <c r="AS76" i="1" s="1"/>
  <c r="AT76" i="1" s="1"/>
  <c r="Y77" i="1"/>
  <c r="AS77" i="1" s="1"/>
  <c r="AT77" i="1" s="1"/>
  <c r="Y78" i="1"/>
  <c r="AS78" i="1" s="1"/>
  <c r="AT78" i="1" s="1"/>
  <c r="Y79" i="1"/>
  <c r="AS79" i="1" s="1"/>
  <c r="AT79" i="1" s="1"/>
  <c r="Y80" i="1"/>
  <c r="AS80" i="1" s="1"/>
  <c r="AT80" i="1" s="1"/>
  <c r="Y81" i="1"/>
  <c r="AS81" i="1" s="1"/>
  <c r="AT81" i="1" s="1"/>
  <c r="Y82" i="1"/>
  <c r="AS82" i="1" s="1"/>
  <c r="AT82" i="1" s="1"/>
  <c r="V73" i="1"/>
  <c r="W73" i="1" s="1"/>
  <c r="AL73" i="1" s="1"/>
  <c r="V74" i="1"/>
  <c r="W74" i="1" s="1"/>
  <c r="AL74" i="1" s="1"/>
  <c r="V75" i="1"/>
  <c r="W75" i="1" s="1"/>
  <c r="AL75" i="1" s="1"/>
  <c r="V76" i="1"/>
  <c r="W76" i="1" s="1"/>
  <c r="AL76" i="1" s="1"/>
  <c r="V77" i="1"/>
  <c r="W77" i="1" s="1"/>
  <c r="AL77" i="1" s="1"/>
  <c r="V78" i="1"/>
  <c r="W78" i="1" s="1"/>
  <c r="AL78" i="1" s="1"/>
  <c r="V79" i="1"/>
  <c r="W79" i="1" s="1"/>
  <c r="AL79" i="1" s="1"/>
  <c r="V80" i="1"/>
  <c r="W80" i="1" s="1"/>
  <c r="AL80" i="1" s="1"/>
  <c r="V81" i="1"/>
  <c r="W81" i="1" s="1"/>
  <c r="AL81" i="1" s="1"/>
  <c r="V82" i="1"/>
  <c r="W82" i="1" s="1"/>
  <c r="AL82" i="1" s="1"/>
  <c r="X38" i="1"/>
  <c r="AP72" i="1" s="1"/>
  <c r="X39" i="1"/>
  <c r="AP73" i="1" s="1"/>
  <c r="X40" i="1"/>
  <c r="AP74" i="1" s="1"/>
  <c r="X41" i="1"/>
  <c r="AP75" i="1" s="1"/>
  <c r="X42" i="1"/>
  <c r="AP76" i="1" s="1"/>
  <c r="X43" i="1"/>
  <c r="AP77" i="1" s="1"/>
  <c r="X44" i="1"/>
  <c r="AP78" i="1" s="1"/>
  <c r="X45" i="1"/>
  <c r="AP79" i="1" s="1"/>
  <c r="X46" i="1"/>
  <c r="AP80" i="1" s="1"/>
  <c r="X47" i="1"/>
  <c r="AP81" i="1" s="1"/>
  <c r="X48" i="1"/>
  <c r="AP82" i="1" s="1"/>
  <c r="X49" i="1"/>
  <c r="AP83" i="1" s="1"/>
  <c r="U39" i="1"/>
  <c r="U40" i="1"/>
  <c r="U41" i="1"/>
  <c r="U42" i="1"/>
  <c r="U43" i="1"/>
  <c r="U44" i="1"/>
  <c r="U45" i="1"/>
  <c r="U46" i="1"/>
  <c r="U47" i="1"/>
  <c r="U48" i="1"/>
  <c r="U49" i="1"/>
  <c r="U21" i="1"/>
  <c r="U22" i="1"/>
  <c r="U24" i="1"/>
  <c r="U25" i="1"/>
  <c r="U26" i="1"/>
  <c r="U27" i="1"/>
  <c r="U28" i="1"/>
  <c r="U29" i="1"/>
  <c r="U30" i="1"/>
  <c r="U31" i="1"/>
  <c r="U32" i="1"/>
  <c r="U33" i="1"/>
  <c r="U34" i="1"/>
  <c r="U35" i="1"/>
  <c r="U36" i="1"/>
  <c r="U37" i="1"/>
  <c r="U38" i="1"/>
  <c r="V55" i="1"/>
  <c r="W55" i="1" s="1"/>
  <c r="AL55" i="1" s="1"/>
  <c r="V56" i="1"/>
  <c r="W56" i="1" s="1"/>
  <c r="AL56" i="1" s="1"/>
  <c r="V57" i="1"/>
  <c r="W57" i="1" s="1"/>
  <c r="AL57" i="1" s="1"/>
  <c r="V58" i="1"/>
  <c r="W58" i="1" s="1"/>
  <c r="AL58" i="1" s="1"/>
  <c r="V59" i="1"/>
  <c r="W59" i="1" s="1"/>
  <c r="AL59" i="1" s="1"/>
  <c r="V60" i="1"/>
  <c r="W60" i="1" s="1"/>
  <c r="AL60" i="1" s="1"/>
  <c r="V61" i="1"/>
  <c r="W61" i="1" s="1"/>
  <c r="AL61" i="1" s="1"/>
  <c r="V62" i="1"/>
  <c r="W62" i="1" s="1"/>
  <c r="AL62" i="1" s="1"/>
  <c r="V63" i="1"/>
  <c r="W63" i="1" s="1"/>
  <c r="AL63" i="1" s="1"/>
  <c r="V64" i="1"/>
  <c r="W64" i="1" s="1"/>
  <c r="AL64" i="1" s="1"/>
  <c r="V65" i="1"/>
  <c r="W65" i="1" s="1"/>
  <c r="AL65" i="1" s="1"/>
  <c r="V66" i="1"/>
  <c r="W66" i="1" s="1"/>
  <c r="AL66" i="1" s="1"/>
  <c r="V67" i="1"/>
  <c r="W67" i="1" s="1"/>
  <c r="AL67" i="1" s="1"/>
  <c r="V68" i="1"/>
  <c r="W68" i="1" s="1"/>
  <c r="AL68" i="1" s="1"/>
  <c r="V69" i="1"/>
  <c r="W69" i="1" s="1"/>
  <c r="AL69" i="1" s="1"/>
  <c r="V70" i="1"/>
  <c r="W70" i="1" s="1"/>
  <c r="AL70" i="1" s="1"/>
  <c r="V71" i="1"/>
  <c r="W71" i="1" s="1"/>
  <c r="AL71" i="1" s="1"/>
  <c r="V72" i="1"/>
  <c r="W72" i="1" s="1"/>
  <c r="AL72" i="1" s="1"/>
  <c r="V83" i="1"/>
  <c r="W83" i="1" s="1"/>
  <c r="AL83" i="1" s="1"/>
  <c r="Y55" i="1"/>
  <c r="AS55" i="1" s="1"/>
  <c r="AT55" i="1" s="1"/>
  <c r="Y56" i="1"/>
  <c r="Y57" i="1"/>
  <c r="AS57" i="1" s="1"/>
  <c r="AT57" i="1" s="1"/>
  <c r="Y58" i="1"/>
  <c r="AS58" i="1" s="1"/>
  <c r="AT58" i="1" s="1"/>
  <c r="Y59" i="1"/>
  <c r="AS59" i="1" s="1"/>
  <c r="AT59" i="1" s="1"/>
  <c r="Y60" i="1"/>
  <c r="AS60" i="1" s="1"/>
  <c r="AT60" i="1" s="1"/>
  <c r="Y61" i="1"/>
  <c r="Y62" i="1"/>
  <c r="AS62" i="1" s="1"/>
  <c r="AT62" i="1" s="1"/>
  <c r="Y63" i="1"/>
  <c r="AS63" i="1" s="1"/>
  <c r="AT63" i="1" s="1"/>
  <c r="Y64" i="1"/>
  <c r="AS64" i="1" s="1"/>
  <c r="AT64" i="1" s="1"/>
  <c r="Y65" i="1"/>
  <c r="AS65" i="1" s="1"/>
  <c r="AT65" i="1" s="1"/>
  <c r="Y66" i="1"/>
  <c r="AS66" i="1" s="1"/>
  <c r="AT66" i="1" s="1"/>
  <c r="Y67" i="1"/>
  <c r="AS67" i="1" s="1"/>
  <c r="AT67" i="1" s="1"/>
  <c r="Y68" i="1"/>
  <c r="AS68" i="1" s="1"/>
  <c r="AT68" i="1" s="1"/>
  <c r="Y69" i="1"/>
  <c r="AS69" i="1" s="1"/>
  <c r="AT69" i="1" s="1"/>
  <c r="Y70" i="1"/>
  <c r="AS70" i="1" s="1"/>
  <c r="AT70" i="1" s="1"/>
  <c r="Y71" i="1"/>
  <c r="AS71" i="1" s="1"/>
  <c r="AT71" i="1" s="1"/>
  <c r="Y72" i="1"/>
  <c r="AS72" i="1" s="1"/>
  <c r="AT72" i="1" s="1"/>
  <c r="Y83" i="1"/>
  <c r="AS83" i="1" s="1"/>
  <c r="AT83" i="1" s="1"/>
  <c r="X21" i="1"/>
  <c r="AP55" i="1" s="1"/>
  <c r="X22" i="1"/>
  <c r="AP56" i="1" s="1"/>
  <c r="X23" i="1"/>
  <c r="AP57" i="1" s="1"/>
  <c r="X24" i="1"/>
  <c r="AP58" i="1" s="1"/>
  <c r="X25" i="1"/>
  <c r="AP59" i="1" s="1"/>
  <c r="X26" i="1"/>
  <c r="AP60" i="1" s="1"/>
  <c r="X27" i="1"/>
  <c r="AP61" i="1" s="1"/>
  <c r="X28" i="1"/>
  <c r="AP62" i="1" s="1"/>
  <c r="X29" i="1"/>
  <c r="AP63" i="1" s="1"/>
  <c r="X30" i="1"/>
  <c r="AP64" i="1" s="1"/>
  <c r="X31" i="1"/>
  <c r="AP65" i="1" s="1"/>
  <c r="X32" i="1"/>
  <c r="AP66" i="1" s="1"/>
  <c r="X33" i="1"/>
  <c r="AP67" i="1" s="1"/>
  <c r="X34" i="1"/>
  <c r="AP68" i="1" s="1"/>
  <c r="X35" i="1"/>
  <c r="AP69" i="1" s="1"/>
  <c r="X36" i="1"/>
  <c r="AP70" i="1" s="1"/>
  <c r="X37" i="1"/>
  <c r="AP71" i="1" s="1"/>
  <c r="F6" i="4"/>
  <c r="G7" i="7"/>
  <c r="G6" i="4"/>
  <c r="H4" i="7"/>
  <c r="B15" i="4"/>
  <c r="V28" i="1" l="1"/>
  <c r="AG62" i="1" s="1"/>
  <c r="AE62" i="1"/>
  <c r="V44" i="1"/>
  <c r="AE78" i="1"/>
  <c r="V27" i="1"/>
  <c r="AG61" i="1" s="1"/>
  <c r="AE61" i="1"/>
  <c r="V43" i="1"/>
  <c r="AG77" i="1" s="1"/>
  <c r="AE77" i="1"/>
  <c r="V38" i="1"/>
  <c r="AE72" i="1"/>
  <c r="V26" i="1"/>
  <c r="Y26" i="1" s="1"/>
  <c r="AO60" i="1" s="1"/>
  <c r="AE60" i="1"/>
  <c r="V42" i="1"/>
  <c r="AG76" i="1" s="1"/>
  <c r="AE76" i="1"/>
  <c r="V25" i="1"/>
  <c r="W25" i="1" s="1"/>
  <c r="AI59" i="1" s="1"/>
  <c r="AE59" i="1"/>
  <c r="V36" i="1"/>
  <c r="AG70" i="1" s="1"/>
  <c r="AE70" i="1"/>
  <c r="V24" i="1"/>
  <c r="AG58" i="1" s="1"/>
  <c r="AE58" i="1"/>
  <c r="V40" i="1"/>
  <c r="AE74" i="1"/>
  <c r="V35" i="1"/>
  <c r="Y35" i="1" s="1"/>
  <c r="AO69" i="1" s="1"/>
  <c r="AE69" i="1"/>
  <c r="V22" i="1"/>
  <c r="AG56" i="1" s="1"/>
  <c r="AE56" i="1"/>
  <c r="V39" i="1"/>
  <c r="AE73" i="1"/>
  <c r="V46" i="1"/>
  <c r="AG80" i="1" s="1"/>
  <c r="AE80" i="1"/>
  <c r="V37" i="1"/>
  <c r="AG71" i="1" s="1"/>
  <c r="AE71" i="1"/>
  <c r="V41" i="1"/>
  <c r="Y41" i="1" s="1"/>
  <c r="AO75" i="1" s="1"/>
  <c r="AE75" i="1"/>
  <c r="V34" i="1"/>
  <c r="Y34" i="1" s="1"/>
  <c r="AO68" i="1" s="1"/>
  <c r="AE68" i="1"/>
  <c r="V21" i="1"/>
  <c r="AG55" i="1" s="1"/>
  <c r="AE55" i="1"/>
  <c r="V33" i="1"/>
  <c r="AE67" i="1"/>
  <c r="V49" i="1"/>
  <c r="AG83" i="1" s="1"/>
  <c r="AE83" i="1"/>
  <c r="V30" i="1"/>
  <c r="AG64" i="1" s="1"/>
  <c r="AE64" i="1"/>
  <c r="V32" i="1"/>
  <c r="AE66" i="1"/>
  <c r="V48" i="1"/>
  <c r="AG82" i="1" s="1"/>
  <c r="AE82" i="1"/>
  <c r="V31" i="1"/>
  <c r="AG65" i="1" s="1"/>
  <c r="AE65" i="1"/>
  <c r="V47" i="1"/>
  <c r="AE81" i="1"/>
  <c r="V20" i="1"/>
  <c r="Y20" i="1" s="1"/>
  <c r="AO54" i="1" s="1"/>
  <c r="AE54" i="1"/>
  <c r="V29" i="1"/>
  <c r="W29" i="1" s="1"/>
  <c r="AI63" i="1" s="1"/>
  <c r="AE63" i="1"/>
  <c r="V45" i="1"/>
  <c r="Y45" i="1" s="1"/>
  <c r="AO79" i="1" s="1"/>
  <c r="AE79" i="1"/>
  <c r="AS56" i="1"/>
  <c r="AT56" i="1" s="1"/>
  <c r="Y84" i="1"/>
  <c r="G9" i="7" s="1"/>
  <c r="W23" i="1"/>
  <c r="AI57" i="1" s="1"/>
  <c r="AK57" i="1"/>
  <c r="X67" i="1"/>
  <c r="AN67" i="1" s="1"/>
  <c r="X59" i="1"/>
  <c r="AN59" i="1" s="1"/>
  <c r="X80" i="1"/>
  <c r="AN80" i="1" s="1"/>
  <c r="X69" i="1"/>
  <c r="AN69" i="1" s="1"/>
  <c r="X68" i="1"/>
  <c r="AN68" i="1" s="1"/>
  <c r="X73" i="1"/>
  <c r="AN73" i="1" s="1"/>
  <c r="X66" i="1"/>
  <c r="AN66" i="1" s="1"/>
  <c r="X58" i="1"/>
  <c r="AN58" i="1" s="1"/>
  <c r="X79" i="1"/>
  <c r="AN79" i="1" s="1"/>
  <c r="X81" i="1"/>
  <c r="AN81" i="1" s="1"/>
  <c r="X83" i="1"/>
  <c r="AN83" i="1" s="1"/>
  <c r="X65" i="1"/>
  <c r="AN65" i="1" s="1"/>
  <c r="X57" i="1"/>
  <c r="AN57" i="1" s="1"/>
  <c r="X78" i="1"/>
  <c r="AN78" i="1" s="1"/>
  <c r="X61" i="1"/>
  <c r="AN61" i="1" s="1"/>
  <c r="X60" i="1"/>
  <c r="AN60" i="1" s="1"/>
  <c r="X64" i="1"/>
  <c r="AN64" i="1" s="1"/>
  <c r="X77" i="1"/>
  <c r="AN77" i="1" s="1"/>
  <c r="X72" i="1"/>
  <c r="AN72" i="1" s="1"/>
  <c r="X56" i="1"/>
  <c r="AN56" i="1" s="1"/>
  <c r="X70" i="1"/>
  <c r="AN70" i="1" s="1"/>
  <c r="X62" i="1"/>
  <c r="AN62" i="1" s="1"/>
  <c r="X75" i="1"/>
  <c r="AN75" i="1" s="1"/>
  <c r="X82" i="1"/>
  <c r="AN82" i="1" s="1"/>
  <c r="X74" i="1"/>
  <c r="AN74" i="1" s="1"/>
  <c r="Z61" i="1"/>
  <c r="AR61" i="1" s="1"/>
  <c r="AS61" i="1"/>
  <c r="AT61" i="1" s="1"/>
  <c r="Z74" i="1"/>
  <c r="AR74" i="1" s="1"/>
  <c r="Z69" i="1"/>
  <c r="AR69" i="1" s="1"/>
  <c r="Z66" i="1"/>
  <c r="AR66" i="1" s="1"/>
  <c r="Z68" i="1"/>
  <c r="AR68" i="1" s="1"/>
  <c r="Z82" i="1"/>
  <c r="AR82" i="1" s="1"/>
  <c r="Z62" i="1"/>
  <c r="AR62" i="1" s="1"/>
  <c r="X50" i="1"/>
  <c r="F9" i="7" s="1"/>
  <c r="Z72" i="1"/>
  <c r="AR72" i="1" s="1"/>
  <c r="Z56" i="1"/>
  <c r="AR56" i="1" s="1"/>
  <c r="Z67" i="1"/>
  <c r="AR67" i="1" s="1"/>
  <c r="Z80" i="1"/>
  <c r="AR80" i="1" s="1"/>
  <c r="Z59" i="1"/>
  <c r="AR59" i="1" s="1"/>
  <c r="Z65" i="1"/>
  <c r="AR65" i="1" s="1"/>
  <c r="Z58" i="1"/>
  <c r="AR58" i="1" s="1"/>
  <c r="Z78" i="1"/>
  <c r="AR78" i="1" s="1"/>
  <c r="Z57" i="1"/>
  <c r="AR57" i="1" s="1"/>
  <c r="Z77" i="1"/>
  <c r="AR77" i="1" s="1"/>
  <c r="Z75" i="1"/>
  <c r="AR75" i="1" s="1"/>
  <c r="Z83" i="1"/>
  <c r="AR83" i="1" s="1"/>
  <c r="Z64" i="1"/>
  <c r="AR64" i="1" s="1"/>
  <c r="H20" i="7"/>
  <c r="F14" i="4" s="1"/>
  <c r="H23" i="7"/>
  <c r="J27" i="7"/>
  <c r="Z63" i="1"/>
  <c r="AR63" i="1" s="1"/>
  <c r="X63" i="1"/>
  <c r="AN63" i="1" s="1"/>
  <c r="Z55" i="1"/>
  <c r="AR55" i="1" s="1"/>
  <c r="X55" i="1"/>
  <c r="AN55" i="1" s="1"/>
  <c r="W84" i="1"/>
  <c r="G10" i="7" s="1"/>
  <c r="G17" i="7" s="1"/>
  <c r="X54" i="1"/>
  <c r="AN54" i="1" s="1"/>
  <c r="Z81" i="1"/>
  <c r="AR81" i="1" s="1"/>
  <c r="Z73" i="1"/>
  <c r="AR73" i="1" s="1"/>
  <c r="Z54" i="1"/>
  <c r="AR54" i="1" s="1"/>
  <c r="Z60" i="1"/>
  <c r="AR60" i="1" s="1"/>
  <c r="Z79" i="1"/>
  <c r="AR79" i="1" s="1"/>
  <c r="Z71" i="1"/>
  <c r="AR71" i="1" s="1"/>
  <c r="X71" i="1"/>
  <c r="AN71" i="1" s="1"/>
  <c r="Y24" i="1"/>
  <c r="AO58" i="1" s="1"/>
  <c r="Y23" i="1"/>
  <c r="AO57" i="1" s="1"/>
  <c r="Z70" i="1"/>
  <c r="AR70" i="1" s="1"/>
  <c r="F13" i="4"/>
  <c r="F23" i="4" s="1"/>
  <c r="X76" i="1"/>
  <c r="AN76" i="1" s="1"/>
  <c r="Z76" i="1"/>
  <c r="AR76" i="1" s="1"/>
  <c r="AW81" i="1"/>
  <c r="AW76" i="1"/>
  <c r="AW54" i="1"/>
  <c r="AW82" i="1"/>
  <c r="AW77" i="1"/>
  <c r="AW75" i="1"/>
  <c r="AW57" i="1"/>
  <c r="AW63" i="1"/>
  <c r="AW70" i="1"/>
  <c r="AW79" i="1"/>
  <c r="AW62" i="1"/>
  <c r="AW61" i="1"/>
  <c r="AW60" i="1"/>
  <c r="AW80" i="1"/>
  <c r="AW65" i="1"/>
  <c r="AW72" i="1"/>
  <c r="AW71" i="1"/>
  <c r="AW58" i="1"/>
  <c r="AW78" i="1"/>
  <c r="AW83" i="1"/>
  <c r="AW73" i="1"/>
  <c r="AW59" i="1"/>
  <c r="AW64" i="1"/>
  <c r="AW55" i="1"/>
  <c r="AW66" i="1"/>
  <c r="AW68" i="1"/>
  <c r="AW69" i="1"/>
  <c r="AW74" i="1"/>
  <c r="AW67" i="1"/>
  <c r="AQ58" i="1" l="1"/>
  <c r="AU58" i="1" s="1"/>
  <c r="Y49" i="1"/>
  <c r="AO83" i="1" s="1"/>
  <c r="AQ83" i="1" s="1"/>
  <c r="AU83" i="1" s="1"/>
  <c r="AK62" i="1"/>
  <c r="AK76" i="1"/>
  <c r="AK56" i="1"/>
  <c r="Y27" i="1"/>
  <c r="AO61" i="1" s="1"/>
  <c r="AQ61" i="1" s="1"/>
  <c r="AU61" i="1" s="1"/>
  <c r="Y31" i="1"/>
  <c r="AO65" i="1" s="1"/>
  <c r="AQ65" i="1" s="1"/>
  <c r="AU65" i="1" s="1"/>
  <c r="Y28" i="1"/>
  <c r="AO62" i="1" s="1"/>
  <c r="AQ62" i="1" s="1"/>
  <c r="AU62" i="1" s="1"/>
  <c r="AK65" i="1"/>
  <c r="AK58" i="1"/>
  <c r="W31" i="1"/>
  <c r="AI65" i="1" s="1"/>
  <c r="W28" i="1"/>
  <c r="AI62" i="1" s="1"/>
  <c r="Y21" i="1"/>
  <c r="AO55" i="1" s="1"/>
  <c r="AQ55" i="1" s="1"/>
  <c r="AU55" i="1" s="1"/>
  <c r="AK55" i="1"/>
  <c r="AQ54" i="1"/>
  <c r="Y22" i="1"/>
  <c r="AO56" i="1" s="1"/>
  <c r="AQ56" i="1" s="1"/>
  <c r="AU56" i="1" s="1"/>
  <c r="W21" i="1"/>
  <c r="AI55" i="1" s="1"/>
  <c r="W22" i="1"/>
  <c r="AI56" i="1" s="1"/>
  <c r="W37" i="1"/>
  <c r="AI71" i="1" s="1"/>
  <c r="Y42" i="1"/>
  <c r="AO76" i="1" s="1"/>
  <c r="AQ76" i="1" s="1"/>
  <c r="AU76" i="1" s="1"/>
  <c r="W42" i="1"/>
  <c r="AI76" i="1" s="1"/>
  <c r="W20" i="1"/>
  <c r="AI54" i="1" s="1"/>
  <c r="W24" i="1"/>
  <c r="AI58" i="1" s="1"/>
  <c r="AK61" i="1"/>
  <c r="Y46" i="1"/>
  <c r="AO80" i="1" s="1"/>
  <c r="AQ80" i="1" s="1"/>
  <c r="AU80" i="1" s="1"/>
  <c r="W27" i="1"/>
  <c r="AI61" i="1" s="1"/>
  <c r="W46" i="1"/>
  <c r="AI80" i="1" s="1"/>
  <c r="Y43" i="1"/>
  <c r="AO77" i="1" s="1"/>
  <c r="AQ77" i="1" s="1"/>
  <c r="AU77" i="1" s="1"/>
  <c r="AK83" i="1"/>
  <c r="Y37" i="1"/>
  <c r="AO71" i="1" s="1"/>
  <c r="AQ71" i="1" s="1"/>
  <c r="AU71" i="1" s="1"/>
  <c r="AK70" i="1"/>
  <c r="AK64" i="1"/>
  <c r="AQ68" i="1"/>
  <c r="AU68" i="1" s="1"/>
  <c r="AQ69" i="1"/>
  <c r="AU69" i="1" s="1"/>
  <c r="AQ60" i="1"/>
  <c r="AU60" i="1" s="1"/>
  <c r="AQ79" i="1"/>
  <c r="AU79" i="1" s="1"/>
  <c r="AK77" i="1"/>
  <c r="AQ75" i="1"/>
  <c r="AU75" i="1" s="1"/>
  <c r="Y29" i="1"/>
  <c r="AO63" i="1" s="1"/>
  <c r="AQ63" i="1" s="1"/>
  <c r="AU63" i="1" s="1"/>
  <c r="Y30" i="1"/>
  <c r="AO64" i="1" s="1"/>
  <c r="AQ64" i="1" s="1"/>
  <c r="AU64" i="1" s="1"/>
  <c r="W30" i="1"/>
  <c r="AI64" i="1" s="1"/>
  <c r="Y36" i="1"/>
  <c r="AO70" i="1" s="1"/>
  <c r="AQ70" i="1" s="1"/>
  <c r="AU70" i="1" s="1"/>
  <c r="W36" i="1"/>
  <c r="AI70" i="1" s="1"/>
  <c r="AQ57" i="1"/>
  <c r="AU57" i="1" s="1"/>
  <c r="W43" i="1"/>
  <c r="AI77" i="1" s="1"/>
  <c r="AK80" i="1"/>
  <c r="AK71" i="1"/>
  <c r="W49" i="1"/>
  <c r="AI83" i="1" s="1"/>
  <c r="AK69" i="1"/>
  <c r="AG69" i="1"/>
  <c r="Y48" i="1"/>
  <c r="AO82" i="1" s="1"/>
  <c r="AQ82" i="1" s="1"/>
  <c r="AU82" i="1" s="1"/>
  <c r="W45" i="1"/>
  <c r="AI79" i="1" s="1"/>
  <c r="AG79" i="1"/>
  <c r="W32" i="1"/>
  <c r="AI66" i="1" s="1"/>
  <c r="AG66" i="1"/>
  <c r="W41" i="1"/>
  <c r="AI75" i="1" s="1"/>
  <c r="AG75" i="1"/>
  <c r="W40" i="1"/>
  <c r="AG74" i="1"/>
  <c r="Y38" i="1"/>
  <c r="AG72" i="1"/>
  <c r="AK68" i="1"/>
  <c r="AG68" i="1"/>
  <c r="AK82" i="1"/>
  <c r="AK63" i="1"/>
  <c r="AG63" i="1"/>
  <c r="W48" i="1"/>
  <c r="AK60" i="1"/>
  <c r="AG60" i="1"/>
  <c r="AK54" i="1"/>
  <c r="AG54" i="1"/>
  <c r="W47" i="1"/>
  <c r="AG81" i="1"/>
  <c r="Y33" i="1"/>
  <c r="AG67" i="1"/>
  <c r="Y39" i="1"/>
  <c r="AG73" i="1"/>
  <c r="AK59" i="1"/>
  <c r="AG59" i="1"/>
  <c r="Y44" i="1"/>
  <c r="AG78" i="1"/>
  <c r="W34" i="1"/>
  <c r="W26" i="1"/>
  <c r="AI60" i="1" s="1"/>
  <c r="W35" i="1"/>
  <c r="AK79" i="1"/>
  <c r="AK67" i="1"/>
  <c r="AK75" i="1"/>
  <c r="AK78" i="1"/>
  <c r="W33" i="1"/>
  <c r="Y47" i="1"/>
  <c r="Y25" i="1"/>
  <c r="Y40" i="1"/>
  <c r="W39" i="1"/>
  <c r="Y32" i="1"/>
  <c r="W44" i="1"/>
  <c r="AK66" i="1"/>
  <c r="AK81" i="1"/>
  <c r="AK73" i="1"/>
  <c r="AK72" i="1"/>
  <c r="AK74" i="1"/>
  <c r="W38" i="1"/>
  <c r="V50" i="1"/>
  <c r="F10" i="7" s="1"/>
  <c r="AM57" i="1"/>
  <c r="AM59" i="1"/>
  <c r="AM63" i="1"/>
  <c r="X84" i="1"/>
  <c r="G12" i="7" s="1"/>
  <c r="Z84" i="1"/>
  <c r="G13" i="7" s="1"/>
  <c r="AW56" i="1"/>
  <c r="AV57" i="1"/>
  <c r="AU54" i="1" l="1"/>
  <c r="N6" i="1"/>
  <c r="AM65" i="1"/>
  <c r="AM54" i="1"/>
  <c r="N5" i="1" s="1"/>
  <c r="AM76" i="1"/>
  <c r="AM58" i="1"/>
  <c r="AM80" i="1"/>
  <c r="AM61" i="1"/>
  <c r="AM77" i="1"/>
  <c r="AM70" i="1"/>
  <c r="AM66" i="1"/>
  <c r="AM56" i="1"/>
  <c r="AM62" i="1"/>
  <c r="AM55" i="1"/>
  <c r="AM71" i="1"/>
  <c r="AM64" i="1"/>
  <c r="AO74" i="1"/>
  <c r="AQ74" i="1" s="1"/>
  <c r="AU74" i="1" s="1"/>
  <c r="AO78" i="1"/>
  <c r="AQ78" i="1" s="1"/>
  <c r="AU78" i="1" s="1"/>
  <c r="AO59" i="1"/>
  <c r="AQ59" i="1" s="1"/>
  <c r="AO73" i="1"/>
  <c r="AQ73" i="1" s="1"/>
  <c r="AU73" i="1" s="1"/>
  <c r="AO67" i="1"/>
  <c r="AQ67" i="1" s="1"/>
  <c r="AU67" i="1" s="1"/>
  <c r="AO81" i="1"/>
  <c r="AQ81" i="1" s="1"/>
  <c r="AU81" i="1" s="1"/>
  <c r="AO72" i="1"/>
  <c r="AQ72" i="1" s="1"/>
  <c r="AU72" i="1" s="1"/>
  <c r="AM79" i="1"/>
  <c r="AM60" i="1"/>
  <c r="AO66" i="1"/>
  <c r="AQ66" i="1" s="1"/>
  <c r="AU66" i="1" s="1"/>
  <c r="AM68" i="1"/>
  <c r="AI68" i="1"/>
  <c r="AM74" i="1"/>
  <c r="AI74" i="1"/>
  <c r="AM73" i="1"/>
  <c r="AI73" i="1"/>
  <c r="AM82" i="1"/>
  <c r="AI82" i="1"/>
  <c r="AM72" i="1"/>
  <c r="AI72" i="1"/>
  <c r="AM67" i="1"/>
  <c r="AI67" i="1"/>
  <c r="AM75" i="1"/>
  <c r="AM69" i="1"/>
  <c r="AI69" i="1"/>
  <c r="AM81" i="1"/>
  <c r="AI81" i="1"/>
  <c r="AM83" i="1"/>
  <c r="AM78" i="1"/>
  <c r="AI78" i="1"/>
  <c r="W50" i="1"/>
  <c r="F12" i="7" s="1"/>
  <c r="Y50" i="1"/>
  <c r="F13" i="7" s="1"/>
  <c r="F17" i="7"/>
  <c r="G14" i="7"/>
  <c r="G18" i="7" s="1"/>
  <c r="G19" i="7" s="1"/>
  <c r="G21" i="7" s="1"/>
  <c r="G11" i="7"/>
  <c r="AV68" i="1"/>
  <c r="AV55" i="1"/>
  <c r="AV63" i="1"/>
  <c r="AV62" i="1"/>
  <c r="AV75" i="1"/>
  <c r="AV83" i="1"/>
  <c r="AV69" i="1"/>
  <c r="AV59" i="1"/>
  <c r="AV60" i="1"/>
  <c r="AV70" i="1"/>
  <c r="AV79" i="1"/>
  <c r="AV64" i="1"/>
  <c r="AV76" i="1"/>
  <c r="AV81" i="1"/>
  <c r="AV78" i="1"/>
  <c r="AV73" i="1"/>
  <c r="AV74" i="1"/>
  <c r="AV80" i="1"/>
  <c r="AV71" i="1"/>
  <c r="AV61" i="1"/>
  <c r="AV77" i="1"/>
  <c r="AV58" i="1"/>
  <c r="AV82" i="1"/>
  <c r="AV67" i="1"/>
  <c r="AV66" i="1"/>
  <c r="AV72" i="1"/>
  <c r="AV56" i="1"/>
  <c r="AV65" i="1"/>
  <c r="AU59" i="1" l="1"/>
  <c r="N7" i="1" s="1"/>
  <c r="H13" i="7"/>
  <c r="H14" i="7" s="1"/>
  <c r="H12" i="7"/>
  <c r="F11" i="7"/>
  <c r="F14" i="7"/>
  <c r="F18" i="7" s="1"/>
  <c r="F19" i="7" s="1"/>
  <c r="F21" i="7" s="1"/>
  <c r="AV54" i="1"/>
  <c r="I27" i="7" l="1"/>
  <c r="N8" i="1"/>
  <c r="T5" i="1"/>
  <c r="F17" i="4" s="1"/>
  <c r="J12" i="7"/>
  <c r="H17" i="7"/>
  <c r="F8" i="4" s="1"/>
  <c r="F4" i="4"/>
  <c r="G4" i="4" s="1"/>
  <c r="N10" i="1"/>
  <c r="H18" i="7"/>
  <c r="F5" i="4"/>
  <c r="H19" i="7" l="1"/>
  <c r="H21" i="7" s="1"/>
  <c r="H34" i="7" s="1"/>
  <c r="F34" i="7" s="1"/>
  <c r="G34" i="7" s="1"/>
  <c r="H6" i="1"/>
  <c r="G8" i="7"/>
  <c r="G5" i="4"/>
  <c r="F9" i="4"/>
  <c r="F10" i="4" s="1"/>
  <c r="F15" i="4" s="1"/>
  <c r="F16" i="4" s="1"/>
  <c r="G38" i="7" l="1"/>
  <c r="I13" i="7"/>
  <c r="J13" i="7" s="1"/>
  <c r="J14" i="7" s="1"/>
  <c r="H30" i="7" s="1"/>
  <c r="G30" i="7" s="1"/>
  <c r="N11" i="1"/>
  <c r="H27" i="7"/>
  <c r="K9" i="1" l="1"/>
  <c r="N12" i="1"/>
  <c r="N13" i="1" s="1"/>
  <c r="F30" i="7" s="1"/>
  <c r="F24" i="4"/>
  <c r="G31" i="7" l="1"/>
  <c r="G24" i="7"/>
  <c r="F27" i="7"/>
  <c r="G27" i="7" s="1"/>
  <c r="H24" i="7" l="1"/>
  <c r="H38" i="7"/>
  <c r="F3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Ganigan, Jared M.</author>
    <author>Ngo, Vinh-Phong N. [US-US]</author>
  </authors>
  <commentList>
    <comment ref="Q19" authorId="0" shapeId="0" xr:uid="{00000000-0006-0000-0100-000001000000}">
      <text>
        <r>
          <rPr>
            <b/>
            <sz val="9"/>
            <color rgb="FF000000"/>
            <rFont val="Tahoma"/>
            <family val="2"/>
          </rPr>
          <t>This should be a number from 0 to 24 which represent the average number of hours that the lights are on each day during the week.</t>
        </r>
      </text>
    </comment>
    <comment ref="R19" authorId="0" shapeId="0" xr:uid="{00000000-0006-0000-0100-000002000000}">
      <text>
        <r>
          <rPr>
            <b/>
            <sz val="9"/>
            <color rgb="FF000000"/>
            <rFont val="Tahoma"/>
            <family val="2"/>
          </rPr>
          <t xml:space="preserve">This should be a number from 0 to 4 which represent the amount of hours that the lights are on during 5pm to 9pm on weekdays. </t>
        </r>
        <r>
          <rPr>
            <sz val="9"/>
            <color rgb="FF000000"/>
            <rFont val="Tahoma"/>
            <family val="2"/>
          </rPr>
          <t xml:space="preserve">
</t>
        </r>
      </text>
    </comment>
    <comment ref="Q53" authorId="1" shapeId="0" xr:uid="{00000000-0006-0000-0100-000003000000}">
      <text>
        <r>
          <rPr>
            <b/>
            <sz val="9"/>
            <color indexed="81"/>
            <rFont val="Tahoma"/>
            <family val="2"/>
          </rPr>
          <t>Required when the lamp is an Omni-directional, Directional, or Decorative type.</t>
        </r>
      </text>
    </comment>
    <comment ref="R53" authorId="0" shapeId="0" xr:uid="{00000000-0006-0000-0100-000004000000}">
      <text>
        <r>
          <rPr>
            <b/>
            <sz val="9"/>
            <color indexed="81"/>
            <rFont val="Tahoma"/>
            <family val="2"/>
          </rPr>
          <t>This should be a number from 0 to 24 which represent the average number of hours that the lights are on each day during the week.</t>
        </r>
      </text>
    </comment>
    <comment ref="S53" authorId="0" shapeId="0" xr:uid="{00000000-0006-0000-0100-000005000000}">
      <text>
        <r>
          <rPr>
            <b/>
            <sz val="9"/>
            <color indexed="81"/>
            <rFont val="Tahoma"/>
            <family val="2"/>
          </rPr>
          <t xml:space="preserve">This should be a number from 0 to 4 which represent the amount of hours that the lights are on during 5pm to 9pm on weekdays. </t>
        </r>
        <r>
          <rPr>
            <sz val="9"/>
            <color indexed="81"/>
            <rFont val="Tahoma"/>
            <family val="2"/>
          </rPr>
          <t xml:space="preserve">
</t>
        </r>
      </text>
    </comment>
    <comment ref="AD53" authorId="1" shapeId="0" xr:uid="{00000000-0006-0000-0100-000006000000}">
      <text>
        <r>
          <rPr>
            <b/>
            <sz val="9"/>
            <color indexed="81"/>
            <rFont val="Tahoma"/>
            <family val="2"/>
          </rPr>
          <t>2nd Baseline: 45 Lumens per Watt</t>
        </r>
      </text>
    </comment>
  </commentList>
</comments>
</file>

<file path=xl/sharedStrings.xml><?xml version="1.0" encoding="utf-8"?>
<sst xmlns="http://schemas.openxmlformats.org/spreadsheetml/2006/main" count="593" uniqueCount="384">
  <si>
    <t>Location</t>
  </si>
  <si>
    <t>Lamp Wattage (including ballast)</t>
  </si>
  <si>
    <t>Saturday Hours of Operation</t>
  </si>
  <si>
    <t>Sunday Hours of Operation</t>
  </si>
  <si>
    <t>Annual Operating Hours</t>
  </si>
  <si>
    <t>Average On-Peak Demand Hours (Weekdays 5 to 9pm)</t>
  </si>
  <si>
    <t>Total Demand (kW)</t>
  </si>
  <si>
    <t>Annual Energy Use (kWh/Year)</t>
  </si>
  <si>
    <t>Interior</t>
  </si>
  <si>
    <t>Island</t>
  </si>
  <si>
    <t>Rate Schedule</t>
  </si>
  <si>
    <t>Total Project Cost</t>
  </si>
  <si>
    <t>Enhanced Case</t>
  </si>
  <si>
    <t>Construction</t>
  </si>
  <si>
    <t>Measure Type</t>
  </si>
  <si>
    <t>Area Affected</t>
  </si>
  <si>
    <t>L1</t>
  </si>
  <si>
    <t>Lighting</t>
  </si>
  <si>
    <t>L2</t>
  </si>
  <si>
    <t>L3</t>
  </si>
  <si>
    <t>Measure Data</t>
  </si>
  <si>
    <t>L5</t>
  </si>
  <si>
    <t>L6</t>
  </si>
  <si>
    <t>Incentive Rate</t>
  </si>
  <si>
    <t>Estimated Incentive</t>
  </si>
  <si>
    <t>L7</t>
  </si>
  <si>
    <t>L8</t>
  </si>
  <si>
    <t>Demand</t>
  </si>
  <si>
    <t>L9</t>
  </si>
  <si>
    <t>L10</t>
  </si>
  <si>
    <t>Energy</t>
  </si>
  <si>
    <t>L11</t>
  </si>
  <si>
    <t>L12</t>
  </si>
  <si>
    <t>Project Financials</t>
  </si>
  <si>
    <t>L13</t>
  </si>
  <si>
    <t>L14</t>
  </si>
  <si>
    <t>L15</t>
  </si>
  <si>
    <t>L16</t>
  </si>
  <si>
    <t>L17</t>
  </si>
  <si>
    <t>Simple Payback</t>
  </si>
  <si>
    <t>Savings to Investment Ratio</t>
  </si>
  <si>
    <t>TRC - Total Resource Cost</t>
  </si>
  <si>
    <t>TRB - Total Resource Benefit</t>
  </si>
  <si>
    <t>TRB / TRC - Utility Cost Test</t>
  </si>
  <si>
    <t>Year</t>
  </si>
  <si>
    <t>Total Resource Benefit-to-Cost Ratio</t>
  </si>
  <si>
    <t>Project Cost NPV</t>
  </si>
  <si>
    <t>Customer Discount Rate</t>
  </si>
  <si>
    <t>Maintenance Cost Escalation Rate</t>
  </si>
  <si>
    <t>Utility Cost Escalation Rate</t>
  </si>
  <si>
    <t>Measure Life</t>
  </si>
  <si>
    <t>Annual Cost Savings</t>
  </si>
  <si>
    <t>1st year Yearly Maintenance Cost Change</t>
  </si>
  <si>
    <t>Net Project First Cost</t>
  </si>
  <si>
    <t>Financials</t>
  </si>
  <si>
    <t>First Year Electrical Cost Savings</t>
  </si>
  <si>
    <t>First Year Energy Cost Savings</t>
  </si>
  <si>
    <t>First Year Demand Cost Savings</t>
  </si>
  <si>
    <t>T&amp;D Losses</t>
  </si>
  <si>
    <t>Maui</t>
  </si>
  <si>
    <t>On-Peak Demand Savings:</t>
  </si>
  <si>
    <t>Island T&amp;D Losses</t>
  </si>
  <si>
    <t>System</t>
  </si>
  <si>
    <t>Customer</t>
  </si>
  <si>
    <t>Energy Savings</t>
  </si>
  <si>
    <t>Schedule G - General Non-Demand</t>
  </si>
  <si>
    <t>Schedule J - General Demand</t>
  </si>
  <si>
    <t>Schedule DS - Large Power Directly Served</t>
  </si>
  <si>
    <t>Schedule P - Large Power</t>
  </si>
  <si>
    <t>Schedule F - Public Street Lighting</t>
  </si>
  <si>
    <t>VLOOKUP</t>
  </si>
  <si>
    <t>Charge</t>
  </si>
  <si>
    <t>Effective Rate</t>
  </si>
  <si>
    <t>kW</t>
  </si>
  <si>
    <t>kWh</t>
  </si>
  <si>
    <t>Maui-Schedule G - General Non-Demand-kW</t>
  </si>
  <si>
    <t>Maui-Schedule G - General Non-Demand-kWh</t>
  </si>
  <si>
    <t>Maui-Schedule J - General Demand-kW</t>
  </si>
  <si>
    <t>Maui-Schedule J - General Demand-kWh</t>
  </si>
  <si>
    <t>Maui-Schedule DS - Large Power Directly Served-kW</t>
  </si>
  <si>
    <t>Maui-Schedule DS - Large Power Directly Served-kWh</t>
  </si>
  <si>
    <t>Maui-Schedule P - Large Power-kW</t>
  </si>
  <si>
    <t>Maui-Schedule P - Large Power-kWh</t>
  </si>
  <si>
    <t>Maui-Schedule F - Public Street Lighting-kW</t>
  </si>
  <si>
    <t>Maui-Schedule F - Public Street Lighting-kWh</t>
  </si>
  <si>
    <t>Number of Lamps per Fixture</t>
  </si>
  <si>
    <t>Retrofit</t>
  </si>
  <si>
    <t>Exterior</t>
  </si>
  <si>
    <t>Interior w/controls</t>
  </si>
  <si>
    <t>Exterior w/controls</t>
  </si>
  <si>
    <t>Island:</t>
  </si>
  <si>
    <t>Total Project Cost:</t>
  </si>
  <si>
    <t>Labor Cost:</t>
  </si>
  <si>
    <t>Equipment Cost:</t>
  </si>
  <si>
    <t>Peak Demand Savings Incentive:</t>
  </si>
  <si>
    <t>Customer Name:</t>
  </si>
  <si>
    <t>Project Name:</t>
  </si>
  <si>
    <t>Peak Demand Savings Incentive Rate:</t>
  </si>
  <si>
    <t>Fixture Type</t>
  </si>
  <si>
    <t>Monday - Friday</t>
  </si>
  <si>
    <t>Saturday</t>
  </si>
  <si>
    <t>Sunday</t>
  </si>
  <si>
    <t>Metal Halide</t>
  </si>
  <si>
    <t>LED</t>
  </si>
  <si>
    <t>Installation Year</t>
  </si>
  <si>
    <t>The white cells will populate automatically</t>
  </si>
  <si>
    <t>Annual Maintenance Cost</t>
  </si>
  <si>
    <t>Average Monthly Demand Cost</t>
  </si>
  <si>
    <t>Average Monthly Energy Cost</t>
  </si>
  <si>
    <t>Total Annual Electricity Cost</t>
  </si>
  <si>
    <t>Savings from Measure</t>
  </si>
  <si>
    <t>Measure Cost</t>
  </si>
  <si>
    <t>Pass/Fail</t>
  </si>
  <si>
    <t>Calculated Incentive</t>
  </si>
  <si>
    <t>Incentive Amount</t>
  </si>
  <si>
    <t>Pass/Limit to 50%</t>
  </si>
  <si>
    <t>Utility Benefit Test</t>
  </si>
  <si>
    <t>Simple Payback Test</t>
  </si>
  <si>
    <t>Fluorescent</t>
  </si>
  <si>
    <t>High Pressure Sodium</t>
  </si>
  <si>
    <t>Low Pressure Sodium</t>
  </si>
  <si>
    <t>Incandescent</t>
  </si>
  <si>
    <t>Mercury Vapor</t>
  </si>
  <si>
    <t>Location Description</t>
  </si>
  <si>
    <t>Average Weekday Hours of Operation</t>
  </si>
  <si>
    <t>Project Year:</t>
  </si>
  <si>
    <t>Demand Cost from Rate Schedule:</t>
  </si>
  <si>
    <t>Energy Cost from Rate Schedule:</t>
  </si>
  <si>
    <t>Maintenance Cost (Base):</t>
  </si>
  <si>
    <t>Maintenance Cost (Enhanced):</t>
  </si>
  <si>
    <t>Area Affected:</t>
  </si>
  <si>
    <t>1st-Year Energy Savings Incentive Rate:</t>
  </si>
  <si>
    <t>Peak Demand Savings:</t>
  </si>
  <si>
    <t>1st-Year Energy Savings:</t>
  </si>
  <si>
    <t>1st-Year Energy Savings Incentive:</t>
  </si>
  <si>
    <t>Calculated Incentive:</t>
  </si>
  <si>
    <t>L4</t>
  </si>
  <si>
    <t>Total Incentive Requested</t>
  </si>
  <si>
    <t>-</t>
  </si>
  <si>
    <t>Program Requirements</t>
  </si>
  <si>
    <t>Program Rules</t>
  </si>
  <si>
    <t>1)</t>
  </si>
  <si>
    <t>3)</t>
  </si>
  <si>
    <t>Lighting Requirements</t>
  </si>
  <si>
    <t>A)</t>
  </si>
  <si>
    <t>Design Lighting Consortium (DLC)</t>
  </si>
  <si>
    <t>B)</t>
  </si>
  <si>
    <t>ENERGY STAR®</t>
  </si>
  <si>
    <t>2)</t>
  </si>
  <si>
    <t>If you have any questions, please call our Business Program (808) 839-8880 (O‘ahu) or toll free at (877) 231-8222</t>
  </si>
  <si>
    <t>The following documents may be required for submission:</t>
  </si>
  <si>
    <t>4)</t>
  </si>
  <si>
    <t>5)</t>
  </si>
  <si>
    <t>6)</t>
  </si>
  <si>
    <t>www.designlights.org/search</t>
  </si>
  <si>
    <t>Section 2 - Base Case</t>
  </si>
  <si>
    <t>Section 3 - Enhanced Case</t>
  </si>
  <si>
    <r>
      <t xml:space="preserve">Please click on the "Lighting Input" tab and enter in all the information for your project in </t>
    </r>
    <r>
      <rPr>
        <b/>
        <u/>
        <sz val="10"/>
        <color rgb="FF00BCE4"/>
        <rFont val="Calibri"/>
        <family val="2"/>
      </rPr>
      <t>blue</t>
    </r>
    <r>
      <rPr>
        <sz val="10"/>
        <color theme="1"/>
        <rFont val="Calibri"/>
        <family val="2"/>
      </rPr>
      <t xml:space="preserve"> and the </t>
    </r>
    <r>
      <rPr>
        <u/>
        <sz val="10"/>
        <color theme="1"/>
        <rFont val="Calibri"/>
        <family val="2"/>
      </rPr>
      <t>white</t>
    </r>
    <r>
      <rPr>
        <sz val="10"/>
        <color theme="1"/>
        <rFont val="Calibri"/>
        <family val="2"/>
      </rPr>
      <t xml:space="preserve"> cells will populate automatically</t>
    </r>
  </si>
  <si>
    <t>Facility Type</t>
  </si>
  <si>
    <t>Cold Storage</t>
  </si>
  <si>
    <t>Education</t>
  </si>
  <si>
    <t>Grocery</t>
  </si>
  <si>
    <t>Health</t>
  </si>
  <si>
    <t>Misc. Commercial</t>
  </si>
  <si>
    <t>Office</t>
  </si>
  <si>
    <t>Restaurant</t>
  </si>
  <si>
    <t>Retail</t>
  </si>
  <si>
    <t>Warehouse</t>
  </si>
  <si>
    <t>Contractor Name/In-House:</t>
  </si>
  <si>
    <t>Account Rate Schedule:</t>
  </si>
  <si>
    <t>Section 1 - Customer &amp; Project Information</t>
  </si>
  <si>
    <t>Section 2 &amp; 3 - Base &amp; Enhanced Case</t>
  </si>
  <si>
    <t>Please try to match the lines in each section to reflect the retrofit as accurately as possible. For example: Section 2 (Line1) is being retrofitted with Section 3 (Line1), Section 2 (Line2) is being retrofitted with Section 3 (Line2) etc.</t>
  </si>
  <si>
    <t>Please provide notes on the following retrofits when applicable:</t>
  </si>
  <si>
    <t>Fixture Quantity</t>
  </si>
  <si>
    <t>www.hawaiienergy.com</t>
  </si>
  <si>
    <r>
      <rPr>
        <b/>
        <i/>
        <sz val="10"/>
        <color theme="1"/>
        <rFont val="Calibri"/>
        <family val="2"/>
      </rPr>
      <t>Account Rate Schedule</t>
    </r>
    <r>
      <rPr>
        <sz val="10"/>
        <color theme="1"/>
        <rFont val="Calibri"/>
        <family val="2"/>
      </rPr>
      <t xml:space="preserve"> - This is the rate schedule for the electric accounted associated with the lighting retrofit</t>
    </r>
  </si>
  <si>
    <r>
      <rPr>
        <b/>
        <i/>
        <sz val="10"/>
        <color theme="1"/>
        <rFont val="Calibri"/>
        <family val="2"/>
      </rPr>
      <t>Contractor Name/In-House</t>
    </r>
    <r>
      <rPr>
        <sz val="10"/>
        <color theme="1"/>
        <rFont val="Calibri"/>
        <family val="2"/>
      </rPr>
      <t xml:space="preserve"> - Please enter the contractor name or "In-House" if project completed by in-house employees</t>
    </r>
  </si>
  <si>
    <r>
      <rPr>
        <b/>
        <i/>
        <sz val="10"/>
        <color theme="1"/>
        <rFont val="Calibri"/>
        <family val="2"/>
      </rPr>
      <t>Total Project Cost</t>
    </r>
    <r>
      <rPr>
        <i/>
        <sz val="10"/>
        <color theme="1"/>
        <rFont val="Calibri"/>
        <family val="2"/>
      </rPr>
      <t xml:space="preserve"> </t>
    </r>
    <r>
      <rPr>
        <sz val="10"/>
        <color theme="1"/>
        <rFont val="Calibri"/>
        <family val="2"/>
      </rPr>
      <t>- These costs should reflect the estimated equipment, maintenance and labor costs associated with the lights in the custom lighting incentive only</t>
    </r>
  </si>
  <si>
    <r>
      <rPr>
        <b/>
        <i/>
        <sz val="10"/>
        <color theme="1"/>
        <rFont val="Calibri"/>
        <family val="2"/>
      </rPr>
      <t>Average Weekday Hours of Operation</t>
    </r>
    <r>
      <rPr>
        <sz val="10"/>
        <color theme="1"/>
        <rFont val="Calibri"/>
        <family val="2"/>
      </rPr>
      <t xml:space="preserve"> - This number should be between 0 and 24 which represent the average hours </t>
    </r>
    <r>
      <rPr>
        <b/>
        <sz val="10"/>
        <color theme="1"/>
        <rFont val="Calibri"/>
        <family val="2"/>
      </rPr>
      <t>per day</t>
    </r>
    <r>
      <rPr>
        <sz val="10"/>
        <color theme="1"/>
        <rFont val="Calibri"/>
        <family val="2"/>
      </rPr>
      <t xml:space="preserve"> during the week</t>
    </r>
  </si>
  <si>
    <r>
      <rPr>
        <b/>
        <i/>
        <sz val="10"/>
        <color theme="1"/>
        <rFont val="Calibri"/>
        <family val="2"/>
      </rPr>
      <t>Saturday Hours of Operation</t>
    </r>
    <r>
      <rPr>
        <sz val="10"/>
        <color theme="1"/>
        <rFont val="Calibri"/>
        <family val="2"/>
      </rPr>
      <t xml:space="preserve"> - This number should be between 0 and 24 which represent the average hours during Saturday</t>
    </r>
  </si>
  <si>
    <r>
      <rPr>
        <b/>
        <i/>
        <sz val="10"/>
        <color theme="1"/>
        <rFont val="Calibri"/>
        <family val="2"/>
      </rPr>
      <t>Sunday Hours of Operation</t>
    </r>
    <r>
      <rPr>
        <sz val="10"/>
        <color theme="1"/>
        <rFont val="Calibri"/>
        <family val="2"/>
      </rPr>
      <t xml:space="preserve"> - This number should be between 0 and 24 which represent the average hours during Sunday</t>
    </r>
  </si>
  <si>
    <r>
      <rPr>
        <b/>
        <i/>
        <sz val="10"/>
        <color theme="1"/>
        <rFont val="Calibri"/>
        <family val="2"/>
      </rPr>
      <t>Average On-Peak Demand Hours</t>
    </r>
    <r>
      <rPr>
        <sz val="10"/>
        <color theme="1"/>
        <rFont val="Calibri"/>
        <family val="2"/>
      </rPr>
      <t xml:space="preserve"> - This number should be between 0 and 4 which represent the average hours of operation between 5pm to 9pm during weekdays (Monday thru Friday)</t>
    </r>
  </si>
  <si>
    <t>First Year Energy Savings:</t>
  </si>
  <si>
    <t>Contract Account Number:</t>
  </si>
  <si>
    <t>Rebate ID:</t>
  </si>
  <si>
    <t>Section 4 - Operation Hours</t>
  </si>
  <si>
    <t>Open Time</t>
  </si>
  <si>
    <t>Close Time</t>
  </si>
  <si>
    <t>Section 5 - Notes</t>
  </si>
  <si>
    <t>Day</t>
  </si>
  <si>
    <t>Section 4 - Operating Hours</t>
  </si>
  <si>
    <t xml:space="preserve">If the project involves retrofitting lights in interior spaces, please enter the open and close times for the facility. This will help our team understand the number of hours entered in section 2 and 3. </t>
  </si>
  <si>
    <t>Project Information</t>
  </si>
  <si>
    <t>System Benefit NPV</t>
  </si>
  <si>
    <t>The incentive amount is</t>
  </si>
  <si>
    <t>of the total project costs</t>
  </si>
  <si>
    <t>On-Peak Demand (Weekdays 5pm-9pm)</t>
  </si>
  <si>
    <t>1) Changes in fixture or lamp quantities</t>
  </si>
  <si>
    <t>2) Explanations on dimming controls (i.e. runtimes used and dimming wattage)</t>
  </si>
  <si>
    <t>Peak Demand Savings Incentive Rate</t>
  </si>
  <si>
    <t>$ 125/kW</t>
  </si>
  <si>
    <t>Energy Savings Incentive Rate</t>
  </si>
  <si>
    <t>$ 0.08/kWh (Project Measure Life ≤ 5 years)</t>
  </si>
  <si>
    <t>$ 0.12/kWh (Project Measure Life &gt; 5 years)</t>
  </si>
  <si>
    <t>Halogen</t>
  </si>
  <si>
    <t>Total Project Cost (w/ Hawai‘i Energy Rebate)</t>
  </si>
  <si>
    <r>
      <rPr>
        <b/>
        <sz val="9"/>
        <color theme="1"/>
        <rFont val="Gill Sans MT"/>
        <family val="2"/>
      </rPr>
      <t xml:space="preserve">Without </t>
    </r>
    <r>
      <rPr>
        <sz val="9"/>
        <color theme="1"/>
        <rFont val="Gill Sans MT"/>
        <family val="2"/>
      </rPr>
      <t>Hawai‘i Energy Rebate</t>
    </r>
  </si>
  <si>
    <r>
      <rPr>
        <b/>
        <sz val="9"/>
        <color theme="1"/>
        <rFont val="Gill Sans MT"/>
        <family val="2"/>
      </rPr>
      <t>With</t>
    </r>
    <r>
      <rPr>
        <sz val="9"/>
        <color theme="1"/>
        <rFont val="Gill Sans MT"/>
        <family val="2"/>
      </rPr>
      <t xml:space="preserve"> Hawai‘i Energy Rebate</t>
    </r>
  </si>
  <si>
    <r>
      <t xml:space="preserve">Program requirement 1 of 3: </t>
    </r>
    <r>
      <rPr>
        <b/>
        <sz val="9"/>
        <color theme="1"/>
        <rFont val="Gill Sans MT"/>
        <family val="2"/>
      </rPr>
      <t xml:space="preserve">Must be </t>
    </r>
    <r>
      <rPr>
        <b/>
        <sz val="9"/>
        <color theme="1"/>
        <rFont val="Calibri"/>
        <family val="2"/>
      </rPr>
      <t>≥</t>
    </r>
    <r>
      <rPr>
        <b/>
        <sz val="9"/>
        <color theme="1"/>
        <rFont val="Gill Sans MT"/>
        <family val="2"/>
      </rPr>
      <t xml:space="preserve"> 1</t>
    </r>
  </si>
  <si>
    <t>L18</t>
  </si>
  <si>
    <t>L19</t>
  </si>
  <si>
    <t xml:space="preserve">No program requirement here. </t>
  </si>
  <si>
    <r>
      <t xml:space="preserve">Program requirement 2 of 3: </t>
    </r>
    <r>
      <rPr>
        <b/>
        <sz val="9"/>
        <color theme="1"/>
        <rFont val="Gill Sans MT"/>
        <family val="2"/>
      </rPr>
      <t xml:space="preserve">Must be </t>
    </r>
    <r>
      <rPr>
        <b/>
        <sz val="9"/>
        <color theme="1"/>
        <rFont val="Calibri"/>
        <family val="2"/>
      </rPr>
      <t>≤</t>
    </r>
    <r>
      <rPr>
        <b/>
        <sz val="9"/>
        <color theme="1"/>
        <rFont val="Gill Sans MT"/>
        <family val="2"/>
      </rPr>
      <t xml:space="preserve"> 50% of total project costs</t>
    </r>
  </si>
  <si>
    <r>
      <t xml:space="preserve">Program requirement 3 of 3: </t>
    </r>
    <r>
      <rPr>
        <b/>
        <sz val="9"/>
        <color theme="1"/>
        <rFont val="Gill Sans MT"/>
        <family val="2"/>
      </rPr>
      <t>Must be &gt; 6 months</t>
    </r>
  </si>
  <si>
    <t>The Simple Payback calculated in our Overview tab must be greater than six months for custom lighting projects</t>
  </si>
  <si>
    <t>The Utility Benefit Test calculated in our Overview tab must be equal to or greater than one</t>
  </si>
  <si>
    <t>In Site Temperature Measurement Test (ISTMT) Report</t>
  </si>
  <si>
    <t>7)</t>
  </si>
  <si>
    <t>The incentive is based on two parts:</t>
  </si>
  <si>
    <r>
      <rPr>
        <b/>
        <sz val="10"/>
        <color theme="1"/>
        <rFont val="Calibri"/>
        <family val="2"/>
      </rPr>
      <t xml:space="preserve">On-Peak Demand savings: </t>
    </r>
    <r>
      <rPr>
        <sz val="10"/>
        <color theme="1"/>
        <rFont val="Calibri"/>
        <family val="2"/>
      </rPr>
      <t>The amount of kW saved during 5pm to 9pm on weekdays</t>
    </r>
  </si>
  <si>
    <r>
      <rPr>
        <b/>
        <sz val="10"/>
        <color theme="1"/>
        <rFont val="Calibri"/>
        <family val="2"/>
      </rPr>
      <t>First-Year Energy savings:</t>
    </r>
    <r>
      <rPr>
        <sz val="10"/>
        <color theme="1"/>
        <rFont val="Calibri"/>
        <family val="2"/>
      </rPr>
      <t xml:space="preserve"> The amount of kWh saved in the first year based on average annual operating hours</t>
    </r>
  </si>
  <si>
    <t>Worksheet Instructions</t>
  </si>
  <si>
    <t>Life of Measure (years)</t>
  </si>
  <si>
    <t>Annual Energy Consumption (kWh/yr.)</t>
  </si>
  <si>
    <t>Monthly Energy Consumption (kWh/mo.)</t>
  </si>
  <si>
    <t>Average Demand (kW)</t>
  </si>
  <si>
    <t>Installed Total Demand (kW)</t>
  </si>
  <si>
    <t>Annual Operating Hours (hr./yr.)</t>
  </si>
  <si>
    <t>Base Case</t>
  </si>
  <si>
    <r>
      <rPr>
        <b/>
        <i/>
        <sz val="10"/>
        <color theme="1"/>
        <rFont val="Calibri"/>
        <family val="2"/>
      </rPr>
      <t>Measure Life</t>
    </r>
    <r>
      <rPr>
        <sz val="10"/>
        <color theme="1"/>
        <rFont val="Calibri"/>
        <family val="2"/>
      </rPr>
      <t xml:space="preserve"> = L70/L90 rated life ÷ annual operating hours</t>
    </r>
  </si>
  <si>
    <t>Lamps and fixtures must have a 3-year warranty with a clear description of how defects are determined and replacements are handled</t>
  </si>
  <si>
    <t xml:space="preserve">www.energystar.gov/productfinder/product/certified-light-bulbs/results </t>
  </si>
  <si>
    <t>www.energystar.gov/productfinder/product/certified-light-fixtures/results</t>
  </si>
  <si>
    <t>Total Operating Cost</t>
  </si>
  <si>
    <t>Section 6 - Rebate &amp; Account Number (Internal Use Only)</t>
  </si>
  <si>
    <t>If the project passes the two metrics above, submit the worksheet to Hawai‘i Energy along with any other necessary documentation including the energy savings calculations, Customized Commercial Application, and IRS Form W-9 for the Applicant (Utility Account Holder).</t>
  </si>
  <si>
    <r>
      <t xml:space="preserve">Once you have completed the above steps, go to the Program Requirements section (in Overview tab) towards the bottom and make sure the Utility Benefit Test and the Simple Payback (without Hawai‘i Energy rebate) have a </t>
    </r>
    <r>
      <rPr>
        <b/>
        <sz val="10"/>
        <color rgb="FF00B050"/>
        <rFont val="Calibri"/>
        <family val="2"/>
      </rPr>
      <t>green</t>
    </r>
    <r>
      <rPr>
        <sz val="10"/>
        <color theme="1"/>
        <rFont val="Calibri"/>
        <family val="2"/>
      </rPr>
      <t xml:space="preserve"> PASS indicator</t>
    </r>
  </si>
  <si>
    <t>Air Condition</t>
  </si>
  <si>
    <t>Air-Conditioned</t>
  </si>
  <si>
    <t>Non Air-Conditioned</t>
  </si>
  <si>
    <t>Facility Type | A/C Info:</t>
  </si>
  <si>
    <t>On-Peak Demand
(5 to 9pm)
(kW)</t>
  </si>
  <si>
    <t>Interactive Effects - Additional Information</t>
  </si>
  <si>
    <t>For "custom" measures, Hawaii Energy performs site-specific customized calculations. In this case, Hawaii Energy takes into amount interactions between measures (e.g., individual savings from installation of window film and replacement of a chiller are not additive because the ﬁrst measure reduces the cooling load met by the second measure).</t>
  </si>
  <si>
    <t>Hawaii Energy will calculate total savings for the package of custom measures being installed, considering interactive effects, either as a single package or in rank order of measures as described below.</t>
  </si>
  <si>
    <t>If a project includes both prescriptive and custom measures, the prescriptive measures will be calculated in the normal manner. However, the prescriptive measures will be assumed to be installed prior to determining the impacts for the custom measures.</t>
  </si>
  <si>
    <t>Contractors must acknowledge that the lamps will be in place for five years. If replaced with higher wattage consumption technologies, the incentive must be refunded.</t>
  </si>
  <si>
    <t>Lamps and fixtures must have a UL or ETL listing for safety</t>
  </si>
  <si>
    <t>C)</t>
  </si>
  <si>
    <r>
      <t xml:space="preserve">LED products that have been rebranded or are sold under a private label are required to submit to DLC the necessary documents and application under DLC Private Label </t>
    </r>
    <r>
      <rPr>
        <b/>
        <i/>
        <u/>
        <sz val="10"/>
        <color rgb="FF00BCE4"/>
        <rFont val="Calibri"/>
        <family val="2"/>
      </rPr>
      <t>https://www.designlights.org/solid-state-lighting/submit-a-product/private-label-applications/</t>
    </r>
    <r>
      <rPr>
        <sz val="10"/>
        <color theme="1"/>
        <rFont val="Calibri"/>
        <family val="2"/>
      </rPr>
      <t xml:space="preserve">  or complete Hawai‘i Energy Private Label Verification Form </t>
    </r>
    <r>
      <rPr>
        <b/>
        <i/>
        <u/>
        <sz val="10"/>
        <color rgb="FF00BCE4"/>
        <rFont val="Calibri"/>
        <family val="2"/>
      </rPr>
      <t>https://hawaiienergy.com/for-businesses/incentives/lighting</t>
    </r>
    <r>
      <rPr>
        <sz val="10"/>
        <color theme="1"/>
        <rFont val="Calibri"/>
        <family val="2"/>
      </rPr>
      <t>. Should a (rebranded/private label) LED product not meet/provide the necessary documents to DLC Private Label or complete Hawai‘i Energy Private Label Verification Form will not qualify for incentives.</t>
    </r>
  </si>
  <si>
    <t>Private Label Policy</t>
  </si>
  <si>
    <r>
      <t xml:space="preserve">IES LM-79 - completed testing results for power, photometric, color temperature and power input vs. light output from an approved testing laboratory listed at </t>
    </r>
    <r>
      <rPr>
        <b/>
        <i/>
        <u/>
        <sz val="10"/>
        <color rgb="FF00BCE4"/>
        <rFont val="Calibri"/>
        <family val="2"/>
      </rPr>
      <t>www.lightingfacts.com/approvedlabs</t>
    </r>
  </si>
  <si>
    <t>All lighting fixtures and lamps must be listed on either of the two following qualified products lists:</t>
  </si>
  <si>
    <r>
      <t xml:space="preserve">LED Lamps and fixtures for which there is </t>
    </r>
    <r>
      <rPr>
        <b/>
        <u/>
        <sz val="10"/>
        <color theme="1"/>
        <rFont val="Calibri"/>
        <family val="2"/>
      </rPr>
      <t>not</t>
    </r>
    <r>
      <rPr>
        <b/>
        <sz val="10"/>
        <color theme="1"/>
        <rFont val="Calibri"/>
        <family val="2"/>
      </rPr>
      <t xml:space="preserve"> </t>
    </r>
    <r>
      <rPr>
        <sz val="10"/>
        <color theme="1"/>
        <rFont val="Calibri"/>
        <family val="2"/>
      </rPr>
      <t xml:space="preserve">a DLC or ENERGY STAR® </t>
    </r>
    <r>
      <rPr>
        <b/>
        <sz val="10"/>
        <color theme="1"/>
        <rFont val="Calibri"/>
        <family val="2"/>
      </rPr>
      <t>category</t>
    </r>
    <r>
      <rPr>
        <sz val="10"/>
        <color theme="1"/>
        <rFont val="Calibri"/>
        <family val="2"/>
      </rPr>
      <t>, may be supported with a custom incentive. Please contact our team if you would like to pre-approve a light that does not have a lighting category.</t>
    </r>
  </si>
  <si>
    <r>
      <t xml:space="preserve">IES LM-80 - completed testing results for lumen maintenance from an EPA-recognized laboratory listed at </t>
    </r>
    <r>
      <rPr>
        <b/>
        <i/>
        <u/>
        <sz val="10"/>
        <color rgb="FF00BCE4"/>
        <rFont val="Calibri"/>
        <family val="2"/>
      </rPr>
      <t>http://data.energystar.gov/dataset/EPA-Recognized-Laboratories-For-Lighting-Products/igwf-7qrr</t>
    </r>
  </si>
  <si>
    <t>The Technical Reference Manual (TRM) provides speciﬁc savings algorithms for many prescriptive measures. When a customer installs a prescriptive measure, the savings are determined according to these algorithms. In some cases, these algorithms include the effects of interactions with other measures.</t>
  </si>
  <si>
    <r>
      <t xml:space="preserve">For any lighting products listed under our Standard (Prescriptive) Lighting Program, please complete the Standard Lighting Worksheet and submit to Hawai‘i Energy as a separate rebate. </t>
    </r>
    <r>
      <rPr>
        <b/>
        <i/>
        <u/>
        <sz val="10"/>
        <color rgb="FF00BCE4"/>
        <rFont val="Calibri"/>
        <family val="2"/>
      </rPr>
      <t>www.hawaiienergy.com/for-business/incentives/lighting</t>
    </r>
  </si>
  <si>
    <r>
      <t xml:space="preserve">In order to ensure the best chances of qualifying for an incentive, Hawai‘i Energy requires that you </t>
    </r>
    <r>
      <rPr>
        <b/>
        <sz val="10"/>
        <rFont val="Calibri"/>
        <family val="2"/>
      </rPr>
      <t>contact our program for preliminary approval prior to the start of any work</t>
    </r>
    <r>
      <rPr>
        <sz val="10"/>
        <rFont val="Calibri"/>
        <family val="2"/>
      </rPr>
      <t xml:space="preserve">. Otherwise, the project is at significant risk of being disqualified. Projects are handled on a case-by-case basis and may require documentation </t>
    </r>
    <r>
      <rPr>
        <u/>
        <sz val="10"/>
        <rFont val="Calibri"/>
        <family val="2"/>
      </rPr>
      <t>before</t>
    </r>
    <r>
      <rPr>
        <sz val="10"/>
        <rFont val="Calibri"/>
        <family val="2"/>
      </rPr>
      <t xml:space="preserve"> and after implementation (e.g. pre- and post-data, pre-inspection, etc.)</t>
    </r>
  </si>
  <si>
    <t>Omni/Directional, Decorative</t>
  </si>
  <si>
    <t>IE, Demand</t>
  </si>
  <si>
    <t>IE, Energy</t>
  </si>
  <si>
    <t>Lamp Life (Hours)</t>
  </si>
  <si>
    <t>Expected Useful Life (Years)</t>
  </si>
  <si>
    <r>
      <rPr>
        <b/>
        <i/>
        <sz val="10"/>
        <color rgb="FFFF0000"/>
        <rFont val="Calibri"/>
        <family val="2"/>
      </rPr>
      <t>Source:</t>
    </r>
    <r>
      <rPr>
        <i/>
        <sz val="10"/>
        <color rgb="FFFF0000"/>
        <rFont val="Calibri"/>
        <family val="2"/>
      </rPr>
      <t xml:space="preserve">
Hawaiian Electric Effective Rate Summary Report: June 2019
https://www.hawaiianelectric.com/my-account/rates-and-regulations/effective-rate-summary</t>
    </r>
  </si>
  <si>
    <t>Hotel/Motel</t>
  </si>
  <si>
    <t>Industrial</t>
  </si>
  <si>
    <t>High Bay, Linear, U-Bend, Troffer</t>
  </si>
  <si>
    <t>Fixture Group</t>
  </si>
  <si>
    <t>Total Incentive Requested:</t>
  </si>
  <si>
    <t>Model Number / Fixture Description</t>
  </si>
  <si>
    <r>
      <t xml:space="preserve">Model Number / Fixture Description 
</t>
    </r>
    <r>
      <rPr>
        <b/>
        <sz val="10"/>
        <color rgb="FFFF0000"/>
        <rFont val="Calibri"/>
        <family val="2"/>
      </rPr>
      <t>(required)</t>
    </r>
  </si>
  <si>
    <t>System Wattage 
(per fixture)</t>
  </si>
  <si>
    <t>Exterior, Other</t>
  </si>
  <si>
    <t>Oahu</t>
  </si>
  <si>
    <t>Hawaii</t>
  </si>
  <si>
    <t>Measure Year</t>
  </si>
  <si>
    <t>Maui_$/kW-yr</t>
  </si>
  <si>
    <t>Hawaii_$/kW-yr</t>
  </si>
  <si>
    <t>Maui_$/kWh-yr</t>
  </si>
  <si>
    <t>Hawaii_$/kWh-yr</t>
  </si>
  <si>
    <t>Maui_$/kW</t>
  </si>
  <si>
    <t>Hawaii_$/kW</t>
  </si>
  <si>
    <t>Maui_$/kWh</t>
  </si>
  <si>
    <t>Hawaii_$/kWh</t>
  </si>
  <si>
    <t>Avoided Energy Costs 
NPV Cumulative from Final Year</t>
  </si>
  <si>
    <t>Avoided Capacity Costs 
NPV Cumulative from Final Year</t>
  </si>
  <si>
    <t>Avoided Energy Costs 
Discounted Annual $/kWh-yr</t>
  </si>
  <si>
    <t>Avoided Capacity Costs 
Discounted Annual $/kW-yr</t>
  </si>
  <si>
    <t>County</t>
  </si>
  <si>
    <t>Molokai</t>
  </si>
  <si>
    <t>Lanai</t>
  </si>
  <si>
    <t>Oahu-Schedule G - General Non-Demand-kW</t>
  </si>
  <si>
    <t>Oahu-Schedule G - General Non-Demand-kWh</t>
  </si>
  <si>
    <t>Oahu-Schedule J - General Demand-kW</t>
  </si>
  <si>
    <t>Oahu-Schedule J - General Demand-kWh</t>
  </si>
  <si>
    <t>Oahu-Schedule DS - Large Power Directly Served-kW</t>
  </si>
  <si>
    <t>Oahu-Schedule DS - Large Power Directly Served-kWh</t>
  </si>
  <si>
    <t>Oahu-Schedule P - Large Power-kW</t>
  </si>
  <si>
    <t>Oahu-Schedule P - Large Power-kWh</t>
  </si>
  <si>
    <t>Oahu-Schedule F - Public Street Lighting-kW</t>
  </si>
  <si>
    <t>Oahu-Schedule F - Public Street Lighting-kWh</t>
  </si>
  <si>
    <t>Hawaii-Schedule G - General Non-Demand-kW</t>
  </si>
  <si>
    <t>Hawaii-Schedule G - General Non-Demand-kWh</t>
  </si>
  <si>
    <t>Hawaii-Schedule J - General Demand-kW</t>
  </si>
  <si>
    <t>Hawaii-Schedule J - General Demand-kWh</t>
  </si>
  <si>
    <t>Hawaii-Schedule DS - Large Power Directly Served-kW</t>
  </si>
  <si>
    <t>Hawaii-Schedule DS - Large Power Directly Served-kWh</t>
  </si>
  <si>
    <t>Hawaii-Schedule P - Large Power-kW</t>
  </si>
  <si>
    <t>Hawaii-Schedule P - Large Power-kWh</t>
  </si>
  <si>
    <t>Hawaii-Schedule F - Public Street Lighting-kW</t>
  </si>
  <si>
    <t>Hawaii-Schedule F - Public Street Lighting-kWh</t>
  </si>
  <si>
    <t>Lanai-Schedule G - General Non-Demand-kW</t>
  </si>
  <si>
    <t>Lanai-Schedule G - General Non-Demand-kWh</t>
  </si>
  <si>
    <t>Lanai-Schedule J - General Demand-kW</t>
  </si>
  <si>
    <t>Lanai-Schedule J - General Demand-kWh</t>
  </si>
  <si>
    <t>Lanai-Schedule DS - Large Power Directly Served-kW</t>
  </si>
  <si>
    <t>Lanai-Schedule DS - Large Power Directly Served-kWh</t>
  </si>
  <si>
    <t>Lanai-Schedule P - Large Power-kW</t>
  </si>
  <si>
    <t>Lanai-Schedule P - Large Power-kWh</t>
  </si>
  <si>
    <t>Lanai-Schedule F - Public Street Lighting-kW</t>
  </si>
  <si>
    <t>Lanai-Schedule F - Public Street Lighting-kWh</t>
  </si>
  <si>
    <t>Molokai-Schedule G - General Non-Demand-kW</t>
  </si>
  <si>
    <t>Molokai-Schedule G - General Non-Demand-kWh</t>
  </si>
  <si>
    <t>Molokai-Schedule J - General Demand-kW</t>
  </si>
  <si>
    <t>Molokai-Schedule J - General Demand-kWh</t>
  </si>
  <si>
    <t>Molokai-Schedule DS - Large Power Directly Served-kW</t>
  </si>
  <si>
    <t>Molokai-Schedule DS - Large Power Directly Served-kWh</t>
  </si>
  <si>
    <t>Molokai-Schedule P - Large Power-kW</t>
  </si>
  <si>
    <t>Molokai-Schedule P - Large Power-kWh</t>
  </si>
  <si>
    <t>Molokai-Schedule F - Public Street Lighting-kW</t>
  </si>
  <si>
    <t>Molokai-Schedule F - Public Street Lighting-kWh</t>
  </si>
  <si>
    <r>
      <t xml:space="preserve">Incentives may </t>
    </r>
    <r>
      <rPr>
        <b/>
        <u/>
        <sz val="10"/>
        <color theme="1"/>
        <rFont val="Calibri"/>
        <family val="2"/>
      </rPr>
      <t>not</t>
    </r>
    <r>
      <rPr>
        <sz val="10"/>
        <color theme="1"/>
        <rFont val="Calibri"/>
        <family val="2"/>
      </rPr>
      <t xml:space="preserve"> exceed 50% of total project costs</t>
    </r>
  </si>
  <si>
    <t>Annual Energy Delta (1st Period)</t>
  </si>
  <si>
    <t>Annual Energy Delta (2nd Period)</t>
  </si>
  <si>
    <t>Total kW Delta (1st Period)</t>
  </si>
  <si>
    <t>Total kW Delta (2nd Period)</t>
  </si>
  <si>
    <t>Peak kW Delta (1st Period)</t>
  </si>
  <si>
    <t>Peak kW Delta (2nd Period)</t>
  </si>
  <si>
    <t>Lamp Wattage 
(2nd Baseline)</t>
  </si>
  <si>
    <t>Lamp Wattage 
(1st Baseline)</t>
  </si>
  <si>
    <t>System Wattage Per Fixture 
(1st Baseline)</t>
  </si>
  <si>
    <t>System Wattage Per Fixture 
(2nd Baseline)</t>
  </si>
  <si>
    <t>Total Demand 
(kW) 
(1st Baseline)</t>
  </si>
  <si>
    <t>Total Demand 
(kW) 
(2nd Baseline)</t>
  </si>
  <si>
    <t>On-Peak Demand 
(5 to 9pm) 
(kW) 
(1st Baseline)</t>
  </si>
  <si>
    <t>On-Peak Demand 
(5 to 9pm) 
(kW) 
(2nd Baseline)</t>
  </si>
  <si>
    <t>Annual Energy Use 
(kWh/Year) 
(1st Baseline)</t>
  </si>
  <si>
    <t>Annual Energy Use 
(kWh/Year) 
(2nd Baseline)</t>
  </si>
  <si>
    <t>Expected Useful Life Shift Year</t>
  </si>
  <si>
    <t>Expected Useful Life</t>
  </si>
  <si>
    <t>Lifetime Energy Delta 
(kWh)</t>
  </si>
  <si>
    <t>Lifetime Energy Savings:</t>
  </si>
  <si>
    <t>Total Resource Benefit (TRB):</t>
  </si>
  <si>
    <t>Total Resource Benefit 
(1st Period)</t>
  </si>
  <si>
    <t>Total Resource Benefit 
(2nd Period)</t>
  </si>
  <si>
    <t>Effective Measure Life:</t>
  </si>
  <si>
    <t>County:</t>
  </si>
  <si>
    <t>Honolulu_$/kW-yr</t>
  </si>
  <si>
    <t>Honolulu_$/kWh-yr</t>
  </si>
  <si>
    <t>Honolulu_$/kW</t>
  </si>
  <si>
    <t>Honolulu_$/kWh</t>
  </si>
  <si>
    <t>Project Type</t>
  </si>
  <si>
    <t>Project Type:</t>
  </si>
  <si>
    <t>New Construction</t>
  </si>
  <si>
    <t>CUSTOMIZED LIGHTING
INCENTIVE WORKSHEET</t>
  </si>
  <si>
    <t>Lumen Output per Fixture</t>
  </si>
  <si>
    <t>7.1)</t>
  </si>
  <si>
    <t>7.2)</t>
  </si>
  <si>
    <t>Special Offerings</t>
  </si>
  <si>
    <t>None</t>
  </si>
  <si>
    <t>Power Move Demand Savings Bonus</t>
  </si>
  <si>
    <t>Program Rules for Power Move Demand Savings Bonus</t>
  </si>
  <si>
    <t>Project must be pre-approved by Hawai‘i Energy through a Rebate Commitment Letter to be eligible for the incentive rates below.</t>
  </si>
  <si>
    <r>
      <t xml:space="preserve">Incentives may </t>
    </r>
    <r>
      <rPr>
        <b/>
        <u/>
        <sz val="10"/>
        <color theme="1"/>
        <rFont val="Calibri"/>
        <family val="2"/>
      </rPr>
      <t>not</t>
    </r>
    <r>
      <rPr>
        <sz val="10"/>
        <color theme="1"/>
        <rFont val="Calibri"/>
        <family val="2"/>
      </rPr>
      <t xml:space="preserve"> exceed 50% of incremental project costs</t>
    </r>
  </si>
  <si>
    <t>Project must be a retrofit. New construction is not eligible for this offer.</t>
  </si>
  <si>
    <t>The Simple Payback calculated in our Overview tab must be greater than one year for custom non-lighting projects</t>
  </si>
  <si>
    <t>Incentives are based on projected energy and demand savings for retrofit projects:</t>
  </si>
  <si>
    <t>6.1)</t>
  </si>
  <si>
    <t>Power Move Demand Savings Incentive Rate</t>
  </si>
  <si>
    <t>$ 400/kW</t>
  </si>
  <si>
    <t>6.2)</t>
  </si>
  <si>
    <t>See the Power Move webpage for complete Rules &amp; Requirements and instructions on how to apply.</t>
  </si>
  <si>
    <r>
      <rPr>
        <b/>
        <sz val="14"/>
        <color theme="1"/>
        <rFont val="Calibri"/>
        <family val="2"/>
      </rPr>
      <t>Customized Lighting Incentive Worksheet</t>
    </r>
    <r>
      <rPr>
        <sz val="11"/>
        <color theme="1"/>
        <rFont val="Calibri"/>
        <family val="2"/>
      </rPr>
      <t xml:space="preserve">
</t>
    </r>
    <r>
      <rPr>
        <sz val="12"/>
        <color theme="1"/>
        <rFont val="Calibri"/>
        <family val="2"/>
      </rPr>
      <t xml:space="preserve">Effective </t>
    </r>
    <r>
      <rPr>
        <sz val="12"/>
        <color rgb="FFFF0000"/>
        <rFont val="Calibri"/>
        <family val="2"/>
      </rPr>
      <t>July 1, 2023</t>
    </r>
    <r>
      <rPr>
        <sz val="12"/>
        <color theme="1"/>
        <rFont val="Calibri"/>
        <family val="2"/>
      </rPr>
      <t xml:space="preserve"> to </t>
    </r>
    <r>
      <rPr>
        <sz val="12"/>
        <color rgb="FFFF0000"/>
        <rFont val="Calibri"/>
        <family val="2"/>
      </rPr>
      <t>June 30, 2024</t>
    </r>
    <r>
      <rPr>
        <sz val="12"/>
        <color theme="1"/>
        <rFont val="Calibri"/>
        <family val="2"/>
      </rPr>
      <t>; Subject to availability of funds.</t>
    </r>
    <r>
      <rPr>
        <sz val="11"/>
        <color theme="1"/>
        <rFont val="Calibri"/>
        <family val="2"/>
      </rPr>
      <t xml:space="preserve"> </t>
    </r>
    <r>
      <rPr>
        <sz val="6"/>
        <color theme="1"/>
        <rFont val="Calibri"/>
        <family val="2"/>
      </rPr>
      <t>(WKS_C_Light_Customized_PY23_1VPN)</t>
    </r>
    <r>
      <rPr>
        <sz val="11"/>
        <color theme="1"/>
        <rFont val="Calibri"/>
        <family val="2"/>
      </rPr>
      <t xml:space="preserve">
</t>
    </r>
    <r>
      <rPr>
        <i/>
        <sz val="10"/>
        <color theme="1"/>
        <rFont val="Calibri"/>
        <family val="2"/>
      </rPr>
      <t>Hawai‘i Energy's mission is to empower island families and businesses to make smart energy choices that reduce energy consumption, save money and pursue a 100% clean energy future.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</si>
</sst>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
    <numFmt numFmtId="169" formatCode="0.0"/>
    <numFmt numFmtId="170" formatCode="#,##0\ &quot;hr./yr.&quot;"/>
    <numFmt numFmtId="171" formatCode="0.0\ &quot;years&quot;"/>
    <numFmt numFmtId="172" formatCode="_(&quot;$&quot;* #,##0.000_);_(&quot;$&quot;* \(#,##0.000\);_(&quot;$&quot;* &quot;-&quot;??_);_(@_)"/>
    <numFmt numFmtId="173" formatCode="0.0000"/>
    <numFmt numFmtId="174" formatCode="_(&quot;$&quot;* #,##0.00&quot;/kWh&quot;_);_(&quot;$&quot;* \(#,##0.00\);_(&quot;$&quot;* &quot;-&quot;??_);_(@_)"/>
    <numFmt numFmtId="175" formatCode="_(&quot;$&quot;* #,##0.00&quot;/kW&quot;_);_(&quot;$&quot;* \(#,##0.00\);_(&quot;$&quot;* &quot;-&quot;??_);_(@_)"/>
    <numFmt numFmtId="176" formatCode="#,##0\ &quot;ft²&quot;"/>
    <numFmt numFmtId="177" formatCode="_(&quot;$&quot;* #,##0.00&quot; / kW&quot;_);_(&quot;$&quot;* \(#,##0.00\);_(&quot;$&quot;* &quot;-&quot;??_);_(@_)"/>
    <numFmt numFmtId="178" formatCode="_(&quot;$&quot;* #,##0.00&quot; / kWh&quot;_);_(&quot;$&quot;* \(#,##0.00\);_(&quot;$&quot;* &quot;-&quot;??_);_(@_)"/>
    <numFmt numFmtId="179" formatCode="0.0\ &quot;Years&quot;"/>
    <numFmt numFmtId="180" formatCode="#,##0.0\ &quot;years&quot;"/>
    <numFmt numFmtId="181" formatCode="0.000"/>
    <numFmt numFmtId="182" formatCode="#,##0.00\ &quot;kWh/year&quot;"/>
    <numFmt numFmtId="183" formatCode="0.000\ &quot;kW&quot;"/>
    <numFmt numFmtId="184" formatCode="#,##0.000"/>
    <numFmt numFmtId="185" formatCode="#,##0.00\ &quot;kWh/yr.&quot;"/>
    <numFmt numFmtId="186" formatCode="#,##0.000\ &quot;kW&quot;"/>
    <numFmt numFmtId="187" formatCode="#,##0.00\ &quot;kWh&quot;"/>
    <numFmt numFmtId="188" formatCode="#,##0.00\ &quot;kWh/mo.&quot;"/>
    <numFmt numFmtId="189" formatCode="_(&quot;$&quot;* #,##0.0000_);_(&quot;$&quot;* \(#,##0.0000\);_(&quot;$&quot;* &quot;-&quot;??_);_(@_)"/>
    <numFmt numFmtId="190" formatCode="_(* #,##0.000_);_(* \(#,##0.000\);_(* &quot;-&quot;???_);_(@_)"/>
    <numFmt numFmtId="191" formatCode="[$-409]mmmm\ d\,\ yyyy;@"/>
    <numFmt numFmtId="192" formatCode="0,000.00\ &quot;kWh&quot;"/>
    <numFmt numFmtId="193" formatCode="_(* #,##0.00_);_(* \(#,##0.00\);_(* &quot;-&quot;???_);_(@_)"/>
  </numFmts>
  <fonts count="50" x14ac:knownFonts="1">
    <font>
      <sz val="11"/>
      <color theme="1"/>
      <name val="Calibri"/>
      <family val="2"/>
    </font>
    <font>
      <sz val="11"/>
      <color theme="1"/>
      <name val="Calibri"/>
      <family val="2"/>
    </font>
    <font>
      <b/>
      <sz val="11"/>
      <color theme="1"/>
      <name val="Calibri"/>
      <family val="2"/>
    </font>
    <font>
      <b/>
      <sz val="10"/>
      <color theme="1"/>
      <name val="Calibri"/>
      <family val="2"/>
    </font>
    <font>
      <sz val="10"/>
      <color theme="1"/>
      <name val="Calibri"/>
      <family val="2"/>
    </font>
    <font>
      <sz val="11"/>
      <color theme="1"/>
      <name val="Calibri"/>
      <family val="2"/>
      <scheme val="minor"/>
    </font>
    <font>
      <b/>
      <sz val="10"/>
      <name val="Calibri"/>
      <family val="2"/>
      <scheme val="minor"/>
    </font>
    <font>
      <sz val="10"/>
      <name val="Arial"/>
      <family val="2"/>
    </font>
    <font>
      <sz val="10"/>
      <name val="Gill Sans MT"/>
      <family val="2"/>
    </font>
    <font>
      <b/>
      <sz val="10"/>
      <name val="Gill Sans MT"/>
      <family val="2"/>
    </font>
    <font>
      <b/>
      <sz val="11"/>
      <color theme="1"/>
      <name val="Calibri"/>
      <family val="2"/>
      <scheme val="minor"/>
    </font>
    <font>
      <i/>
      <sz val="10"/>
      <color theme="1"/>
      <name val="Calibri"/>
      <family val="2"/>
    </font>
    <font>
      <u/>
      <sz val="10"/>
      <color theme="1"/>
      <name val="Calibri"/>
      <family val="2"/>
    </font>
    <font>
      <b/>
      <sz val="11"/>
      <color theme="1"/>
      <name val="Gill Sans MT"/>
      <family val="2"/>
    </font>
    <font>
      <sz val="11"/>
      <color theme="1"/>
      <name val="Gill Sans MT"/>
      <family val="2"/>
    </font>
    <font>
      <b/>
      <sz val="9"/>
      <color theme="1"/>
      <name val="Gill Sans MT"/>
      <family val="2"/>
    </font>
    <font>
      <b/>
      <sz val="9"/>
      <color theme="1"/>
      <name val="Calibri"/>
      <family val="2"/>
      <scheme val="minor"/>
    </font>
    <font>
      <sz val="9"/>
      <color theme="1"/>
      <name val="Calibri"/>
      <family val="2"/>
      <scheme val="minor"/>
    </font>
    <font>
      <u/>
      <sz val="9"/>
      <color theme="1"/>
      <name val="Calibri"/>
      <family val="2"/>
      <scheme val="minor"/>
    </font>
    <font>
      <sz val="9"/>
      <color theme="1"/>
      <name val="Gill Sans MT"/>
      <family val="2"/>
    </font>
    <font>
      <u/>
      <sz val="11"/>
      <color theme="10"/>
      <name val="Calibri"/>
      <family val="2"/>
    </font>
    <font>
      <b/>
      <u/>
      <sz val="10"/>
      <color theme="1"/>
      <name val="Calibri"/>
      <family val="2"/>
    </font>
    <font>
      <b/>
      <u/>
      <sz val="10"/>
      <color rgb="FF00BCE4"/>
      <name val="Calibri"/>
      <family val="2"/>
    </font>
    <font>
      <i/>
      <sz val="10"/>
      <color rgb="FFFF0000"/>
      <name val="Calibri"/>
      <family val="2"/>
    </font>
    <font>
      <b/>
      <sz val="10"/>
      <color rgb="FF00BCE4"/>
      <name val="Calibri"/>
      <family val="2"/>
    </font>
    <font>
      <b/>
      <i/>
      <sz val="10"/>
      <color theme="1"/>
      <name val="Calibri"/>
      <family val="2"/>
    </font>
    <font>
      <sz val="9"/>
      <color indexed="81"/>
      <name val="Tahoma"/>
      <family val="2"/>
    </font>
    <font>
      <b/>
      <sz val="9"/>
      <color indexed="81"/>
      <name val="Tahoma"/>
      <family val="2"/>
    </font>
    <font>
      <b/>
      <sz val="10"/>
      <color rgb="FFFF0000"/>
      <name val="Calibri"/>
      <family val="2"/>
    </font>
    <font>
      <b/>
      <sz val="9"/>
      <color theme="1"/>
      <name val="Calibri"/>
      <family val="2"/>
    </font>
    <font>
      <b/>
      <sz val="11"/>
      <color theme="0"/>
      <name val="Gill Sans MT"/>
      <family val="2"/>
    </font>
    <font>
      <b/>
      <sz val="10"/>
      <name val="Calibri"/>
      <family val="2"/>
    </font>
    <font>
      <b/>
      <sz val="10"/>
      <color rgb="FF00B050"/>
      <name val="Calibri"/>
      <family val="2"/>
    </font>
    <font>
      <sz val="10"/>
      <name val="Calibri"/>
      <family val="2"/>
    </font>
    <font>
      <u/>
      <sz val="10"/>
      <name val="Calibri"/>
      <family val="2"/>
    </font>
    <font>
      <b/>
      <i/>
      <sz val="10"/>
      <color rgb="FFFF0000"/>
      <name val="Calibri"/>
      <family val="2"/>
    </font>
    <font>
      <b/>
      <i/>
      <u/>
      <sz val="10"/>
      <color rgb="FF00BCE4"/>
      <name val="Calibri"/>
      <family val="2"/>
    </font>
    <font>
      <sz val="11"/>
      <color theme="0"/>
      <name val="Calibri"/>
      <family val="2"/>
    </font>
    <font>
      <sz val="10"/>
      <name val="Calibri"/>
      <family val="2"/>
      <scheme val="minor"/>
    </font>
    <font>
      <b/>
      <sz val="14"/>
      <color theme="1"/>
      <name val="Calibri"/>
      <family val="2"/>
    </font>
    <font>
      <sz val="12"/>
      <color theme="1"/>
      <name val="Calibri"/>
      <family val="2"/>
    </font>
    <font>
      <sz val="12"/>
      <color rgb="FFFF0000"/>
      <name val="Calibri"/>
      <family val="2"/>
    </font>
    <font>
      <sz val="6"/>
      <color theme="1"/>
      <name val="Calibri"/>
      <family val="2"/>
    </font>
    <font>
      <b/>
      <sz val="16"/>
      <color theme="1"/>
      <name val="Gill Sans MT"/>
      <family val="2"/>
    </font>
    <font>
      <sz val="10"/>
      <color rgb="FF000000"/>
      <name val="Calibri"/>
      <family val="2"/>
    </font>
    <font>
      <b/>
      <sz val="9"/>
      <color rgb="FF000000"/>
      <name val="Tahoma"/>
      <family val="2"/>
    </font>
    <font>
      <sz val="9"/>
      <color rgb="FF000000"/>
      <name val="Tahoma"/>
      <family val="2"/>
    </font>
    <font>
      <sz val="11"/>
      <name val="Calibri"/>
      <family val="2"/>
    </font>
    <font>
      <sz val="11"/>
      <color theme="0"/>
      <name val="Calibri"/>
      <family val="2"/>
      <scheme val="minor"/>
    </font>
    <font>
      <sz val="11"/>
      <name val="Calibri"/>
      <family val="2"/>
      <scheme val="minor"/>
    </font>
  </fonts>
  <fills count="16">
    <fill>
      <patternFill patternType="none"/>
    </fill>
    <fill>
      <patternFill patternType="gray125"/>
    </fill>
    <fill>
      <patternFill patternType="solid">
        <fgColor rgb="FF00BCE4"/>
        <bgColor indexed="64"/>
      </patternFill>
    </fill>
    <fill>
      <patternFill patternType="solid">
        <fgColor rgb="FFCCECFF"/>
        <bgColor indexed="64"/>
      </patternFill>
    </fill>
    <fill>
      <patternFill patternType="solid">
        <fgColor theme="0"/>
        <bgColor indexed="64"/>
      </patternFill>
    </fill>
    <fill>
      <patternFill patternType="solid">
        <fgColor indexed="42"/>
        <bgColor indexed="64"/>
      </patternFill>
    </fill>
    <fill>
      <patternFill patternType="solid">
        <fgColor theme="0" tint="-0.14999847407452621"/>
        <bgColor indexed="64"/>
      </patternFill>
    </fill>
    <fill>
      <patternFill patternType="solid">
        <fgColor rgb="FFCC99FF"/>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rgb="FFCCECFF"/>
        <bgColor rgb="FF000000"/>
      </patternFill>
    </fill>
    <fill>
      <patternFill patternType="solid">
        <fgColor theme="6"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17">
    <xf numFmtId="0" fontId="0" fillId="0" borderId="0"/>
    <xf numFmtId="44" fontId="1" fillId="0" borderId="0" applyFont="0" applyFill="0" applyBorder="0" applyAlignment="0" applyProtection="0"/>
    <xf numFmtId="43" fontId="5"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5"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0"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91" fontId="7" fillId="0" borderId="0"/>
    <xf numFmtId="43" fontId="7" fillId="0" borderId="0" applyFont="0" applyFill="0" applyBorder="0" applyAlignment="0" applyProtection="0"/>
    <xf numFmtId="0" fontId="48" fillId="15" borderId="0" applyNumberFormat="0" applyBorder="0" applyAlignment="0" applyProtection="0"/>
  </cellStyleXfs>
  <cellXfs count="313">
    <xf numFmtId="0" fontId="0" fillId="0" borderId="0" xfId="0"/>
    <xf numFmtId="165" fontId="6" fillId="0" borderId="1" xfId="2" applyNumberFormat="1" applyFont="1" applyFill="1" applyBorder="1" applyAlignment="1" applyProtection="1">
      <alignment horizontal="center"/>
    </xf>
    <xf numFmtId="0" fontId="3" fillId="2" borderId="1" xfId="0" applyFont="1" applyFill="1" applyBorder="1" applyProtection="1"/>
    <xf numFmtId="0" fontId="4" fillId="0" borderId="0" xfId="0" applyFont="1" applyProtection="1"/>
    <xf numFmtId="0" fontId="4" fillId="0" borderId="0" xfId="0" applyFont="1" applyAlignment="1" applyProtection="1">
      <alignment horizontal="center"/>
    </xf>
    <xf numFmtId="0" fontId="2" fillId="0" borderId="0" xfId="0" applyFont="1" applyProtection="1"/>
    <xf numFmtId="0" fontId="12" fillId="0" borderId="0" xfId="0" applyFont="1" applyProtection="1"/>
    <xf numFmtId="0" fontId="3" fillId="2"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5" fontId="4" fillId="4" borderId="1" xfId="0" applyNumberFormat="1" applyFont="1" applyFill="1" applyBorder="1" applyAlignment="1" applyProtection="1">
      <alignment horizontal="center"/>
    </xf>
    <xf numFmtId="0" fontId="11" fillId="0" borderId="0" xfId="0" applyFont="1" applyAlignment="1" applyProtection="1">
      <alignment horizontal="left"/>
    </xf>
    <xf numFmtId="4" fontId="4" fillId="0" borderId="0" xfId="0" applyNumberFormat="1" applyFont="1" applyAlignment="1" applyProtection="1">
      <alignment horizontal="center"/>
    </xf>
    <xf numFmtId="0" fontId="3" fillId="0" borderId="0" xfId="0" applyFont="1" applyAlignment="1" applyProtection="1">
      <alignment horizontal="center"/>
    </xf>
    <xf numFmtId="3" fontId="4" fillId="3" borderId="1" xfId="0" applyNumberFormat="1" applyFont="1" applyFill="1" applyBorder="1" applyAlignment="1" applyProtection="1">
      <alignment horizontal="center"/>
      <protection locked="0"/>
    </xf>
    <xf numFmtId="165" fontId="4" fillId="3" borderId="1" xfId="0" applyNumberFormat="1" applyFont="1" applyFill="1" applyBorder="1" applyAlignment="1" applyProtection="1">
      <alignment horizontal="center"/>
      <protection locked="0"/>
    </xf>
    <xf numFmtId="0" fontId="13" fillId="0" borderId="0" xfId="0" applyFont="1" applyProtection="1"/>
    <xf numFmtId="0" fontId="4" fillId="0" borderId="0" xfId="0" applyFont="1" applyAlignment="1" applyProtection="1">
      <alignment horizontal="right"/>
    </xf>
    <xf numFmtId="0" fontId="3" fillId="0" borderId="0" xfId="0" applyFont="1" applyProtection="1"/>
    <xf numFmtId="0" fontId="11" fillId="0" borderId="0" xfId="0" applyFont="1" applyBorder="1" applyAlignment="1" applyProtection="1"/>
    <xf numFmtId="0" fontId="3" fillId="2" borderId="1" xfId="0" applyFont="1" applyFill="1" applyBorder="1" applyAlignment="1" applyProtection="1">
      <alignment horizontal="center"/>
    </xf>
    <xf numFmtId="0" fontId="2" fillId="2" borderId="0" xfId="0" applyFont="1" applyFill="1" applyProtection="1"/>
    <xf numFmtId="0" fontId="0" fillId="0" borderId="0" xfId="0" applyProtection="1"/>
    <xf numFmtId="0" fontId="2" fillId="2" borderId="0" xfId="0" applyFont="1" applyFill="1" applyAlignment="1" applyProtection="1"/>
    <xf numFmtId="0" fontId="9" fillId="2" borderId="3" xfId="3" applyFont="1" applyFill="1" applyBorder="1" applyProtection="1"/>
    <xf numFmtId="0" fontId="9" fillId="2" borderId="6" xfId="3" applyFont="1" applyFill="1" applyBorder="1" applyProtection="1"/>
    <xf numFmtId="0" fontId="8" fillId="2" borderId="6" xfId="3" applyFont="1" applyFill="1" applyBorder="1" applyProtection="1"/>
    <xf numFmtId="2" fontId="9" fillId="2" borderId="6" xfId="8" applyNumberFormat="1" applyFont="1" applyFill="1" applyBorder="1" applyAlignment="1" applyProtection="1">
      <alignment horizontal="center" vertical="center"/>
    </xf>
    <xf numFmtId="167" fontId="9" fillId="2" borderId="4" xfId="8" applyNumberFormat="1" applyFont="1" applyFill="1" applyBorder="1" applyAlignment="1" applyProtection="1">
      <alignment horizontal="center" vertical="top" wrapText="1"/>
    </xf>
    <xf numFmtId="0" fontId="8" fillId="0" borderId="0" xfId="3" applyFont="1" applyProtection="1"/>
    <xf numFmtId="0" fontId="9" fillId="5" borderId="17" xfId="3" applyFont="1" applyFill="1" applyBorder="1" applyProtection="1"/>
    <xf numFmtId="0" fontId="8" fillId="5" borderId="13" xfId="3" applyFont="1" applyFill="1" applyBorder="1" applyProtection="1"/>
    <xf numFmtId="164" fontId="8" fillId="0" borderId="0" xfId="9" applyNumberFormat="1" applyFont="1" applyBorder="1" applyProtection="1"/>
    <xf numFmtId="0" fontId="8" fillId="0" borderId="17" xfId="3" applyFont="1" applyBorder="1" applyProtection="1"/>
    <xf numFmtId="0" fontId="8" fillId="0" borderId="2" xfId="3" applyFont="1" applyBorder="1" applyProtection="1"/>
    <xf numFmtId="0" fontId="8" fillId="0" borderId="17" xfId="3" applyNumberFormat="1" applyFont="1" applyBorder="1" applyProtection="1"/>
    <xf numFmtId="10" fontId="8" fillId="0" borderId="0" xfId="7" applyNumberFormat="1" applyFont="1" applyBorder="1" applyProtection="1"/>
    <xf numFmtId="0" fontId="8" fillId="0" borderId="7" xfId="3" applyFont="1" applyBorder="1" applyProtection="1"/>
    <xf numFmtId="0" fontId="8" fillId="0" borderId="0" xfId="3" applyFont="1" applyBorder="1" applyProtection="1"/>
    <xf numFmtId="0" fontId="8" fillId="0" borderId="7" xfId="3" applyNumberFormat="1" applyFont="1" applyBorder="1" applyProtection="1"/>
    <xf numFmtId="10" fontId="8" fillId="0" borderId="8" xfId="7" applyNumberFormat="1" applyFont="1" applyBorder="1" applyProtection="1"/>
    <xf numFmtId="0" fontId="8" fillId="0" borderId="0" xfId="3" applyNumberFormat="1" applyFont="1" applyBorder="1" applyAlignment="1" applyProtection="1">
      <alignment horizontal="right"/>
    </xf>
    <xf numFmtId="173" fontId="7" fillId="0" borderId="0" xfId="7" applyNumberFormat="1" applyProtection="1"/>
    <xf numFmtId="164" fontId="8" fillId="0" borderId="0" xfId="3" applyNumberFormat="1" applyFont="1" applyBorder="1" applyProtection="1"/>
    <xf numFmtId="0" fontId="8" fillId="0" borderId="9" xfId="3" applyNumberFormat="1" applyFont="1" applyBorder="1" applyProtection="1"/>
    <xf numFmtId="10" fontId="8" fillId="0" borderId="15" xfId="7" applyNumberFormat="1" applyFont="1" applyBorder="1" applyProtection="1"/>
    <xf numFmtId="164" fontId="8" fillId="0" borderId="16" xfId="3" applyNumberFormat="1" applyFont="1" applyBorder="1" applyProtection="1"/>
    <xf numFmtId="10" fontId="7" fillId="0" borderId="0" xfId="7" applyNumberFormat="1" applyProtection="1"/>
    <xf numFmtId="0" fontId="8" fillId="0" borderId="9" xfId="3" applyFont="1" applyBorder="1" applyProtection="1"/>
    <xf numFmtId="0" fontId="8" fillId="0" borderId="5" xfId="3" applyFont="1" applyBorder="1" applyProtection="1"/>
    <xf numFmtId="164" fontId="8" fillId="0" borderId="5" xfId="3" applyNumberFormat="1" applyFont="1" applyBorder="1" applyProtection="1"/>
    <xf numFmtId="164" fontId="8" fillId="0" borderId="0" xfId="9" applyNumberFormat="1" applyFont="1" applyProtection="1"/>
    <xf numFmtId="2" fontId="8" fillId="0" borderId="0" xfId="8" quotePrefix="1" applyNumberFormat="1" applyFont="1" applyAlignment="1" applyProtection="1">
      <alignment horizontal="right" vertical="center"/>
    </xf>
    <xf numFmtId="167" fontId="8" fillId="0" borderId="0" xfId="8" quotePrefix="1" applyNumberFormat="1" applyFont="1" applyAlignment="1" applyProtection="1">
      <alignment horizontal="left" vertical="top" wrapText="1"/>
    </xf>
    <xf numFmtId="0" fontId="7" fillId="0" borderId="0" xfId="7" applyProtection="1"/>
    <xf numFmtId="164" fontId="8" fillId="0" borderId="0" xfId="9" applyNumberFormat="1" applyFont="1" applyBorder="1" applyAlignment="1" applyProtection="1">
      <alignment horizontal="center" vertical="center"/>
    </xf>
    <xf numFmtId="167" fontId="8" fillId="0" borderId="8" xfId="8" quotePrefix="1" applyNumberFormat="1" applyFont="1" applyBorder="1" applyAlignment="1" applyProtection="1">
      <alignment horizontal="left" vertical="top" wrapText="1"/>
    </xf>
    <xf numFmtId="166" fontId="8" fillId="0" borderId="8" xfId="8" quotePrefix="1" applyNumberFormat="1" applyFont="1" applyBorder="1" applyAlignment="1" applyProtection="1">
      <alignment horizontal="left" vertical="top" wrapText="1"/>
    </xf>
    <xf numFmtId="164" fontId="8" fillId="0" borderId="16" xfId="9" applyNumberFormat="1" applyFont="1" applyBorder="1" applyProtection="1"/>
    <xf numFmtId="0" fontId="8" fillId="0" borderId="8" xfId="3" applyFont="1" applyBorder="1" applyProtection="1"/>
    <xf numFmtId="172" fontId="8" fillId="0" borderId="0" xfId="9" applyNumberFormat="1" applyFont="1" applyProtection="1"/>
    <xf numFmtId="168" fontId="8" fillId="0" borderId="0" xfId="3" applyNumberFormat="1" applyFont="1" applyBorder="1" applyAlignment="1" applyProtection="1">
      <alignment vertical="center"/>
    </xf>
    <xf numFmtId="168" fontId="8" fillId="0" borderId="0" xfId="3" applyNumberFormat="1" applyFont="1" applyBorder="1" applyProtection="1"/>
    <xf numFmtId="164" fontId="8" fillId="0" borderId="0" xfId="3" applyNumberFormat="1" applyFont="1" applyProtection="1"/>
    <xf numFmtId="167" fontId="8" fillId="0" borderId="5" xfId="12" applyNumberFormat="1" applyFont="1" applyBorder="1" applyAlignment="1" applyProtection="1">
      <alignment horizontal="right" vertical="center"/>
    </xf>
    <xf numFmtId="0" fontId="8" fillId="0" borderId="15" xfId="3" applyFont="1" applyBorder="1" applyProtection="1"/>
    <xf numFmtId="169" fontId="8" fillId="0" borderId="0" xfId="3" applyNumberFormat="1" applyFont="1" applyBorder="1" applyAlignment="1" applyProtection="1">
      <alignment horizontal="center" vertical="center"/>
    </xf>
    <xf numFmtId="0" fontId="17" fillId="0" borderId="0" xfId="0" applyFont="1" applyAlignment="1" applyProtection="1">
      <alignment horizontal="center" vertical="center"/>
    </xf>
    <xf numFmtId="0" fontId="16" fillId="0" borderId="0" xfId="0" applyFont="1" applyAlignment="1" applyProtection="1">
      <alignment horizontal="left" vertical="center"/>
    </xf>
    <xf numFmtId="0" fontId="18" fillId="0" borderId="0" xfId="0" applyFont="1" applyAlignment="1" applyProtection="1">
      <alignment horizontal="left" vertical="center"/>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10" fillId="2" borderId="1" xfId="0" applyFont="1" applyFill="1" applyBorder="1" applyAlignment="1" applyProtection="1">
      <alignment horizontal="center" vertical="center"/>
    </xf>
    <xf numFmtId="0" fontId="14" fillId="0" borderId="0" xfId="0" applyFont="1" applyAlignment="1" applyProtection="1">
      <alignment horizontal="center" vertical="center"/>
    </xf>
    <xf numFmtId="0" fontId="13" fillId="0" borderId="1" xfId="0" applyFont="1" applyBorder="1" applyAlignment="1" applyProtection="1">
      <alignment horizontal="left" vertical="center"/>
    </xf>
    <xf numFmtId="0" fontId="14" fillId="0" borderId="1" xfId="0" applyFont="1" applyBorder="1" applyAlignment="1" applyProtection="1">
      <alignment horizontal="center" vertical="center"/>
    </xf>
    <xf numFmtId="176" fontId="14" fillId="0" borderId="1" xfId="0" applyNumberFormat="1" applyFont="1" applyBorder="1" applyAlignment="1" applyProtection="1">
      <alignment horizontal="center" vertical="center"/>
    </xf>
    <xf numFmtId="0" fontId="13" fillId="0" borderId="0" xfId="0" applyFont="1" applyBorder="1" applyAlignment="1" applyProtection="1">
      <alignment horizontal="left" vertical="center"/>
    </xf>
    <xf numFmtId="0" fontId="5" fillId="0" borderId="0" xfId="0" applyFont="1" applyAlignment="1" applyProtection="1">
      <alignment horizontal="center" vertical="center"/>
    </xf>
    <xf numFmtId="0" fontId="13" fillId="0" borderId="8" xfId="0" applyFont="1" applyBorder="1" applyAlignment="1" applyProtection="1">
      <alignment horizontal="center" textRotation="90"/>
    </xf>
    <xf numFmtId="0" fontId="14" fillId="4" borderId="1" xfId="0" applyFont="1" applyFill="1" applyBorder="1" applyAlignment="1" applyProtection="1">
      <alignment horizontal="center" vertical="center"/>
    </xf>
    <xf numFmtId="171" fontId="14" fillId="0" borderId="1" xfId="0" applyNumberFormat="1" applyFont="1" applyBorder="1" applyAlignment="1" applyProtection="1">
      <alignment horizontal="center" vertical="center"/>
    </xf>
    <xf numFmtId="170" fontId="14" fillId="0" borderId="1" xfId="0" applyNumberFormat="1" applyFont="1" applyBorder="1" applyAlignment="1" applyProtection="1">
      <alignment horizontal="center" vertical="center"/>
    </xf>
    <xf numFmtId="177" fontId="14" fillId="0" borderId="1" xfId="1" applyNumberFormat="1" applyFont="1" applyBorder="1" applyAlignment="1" applyProtection="1">
      <alignment horizontal="center" vertical="center"/>
    </xf>
    <xf numFmtId="44" fontId="14" fillId="6" borderId="1" xfId="0" applyNumberFormat="1" applyFont="1" applyFill="1" applyBorder="1" applyAlignment="1" applyProtection="1">
      <alignment horizontal="center" vertical="center"/>
    </xf>
    <xf numFmtId="0" fontId="15" fillId="0" borderId="0" xfId="0" applyFont="1" applyAlignment="1" applyProtection="1">
      <alignment horizontal="left" vertical="center"/>
    </xf>
    <xf numFmtId="178" fontId="14" fillId="0" borderId="1" xfId="1" applyNumberFormat="1" applyFont="1" applyBorder="1" applyAlignment="1" applyProtection="1">
      <alignment horizontal="center" vertical="center"/>
    </xf>
    <xf numFmtId="0" fontId="13" fillId="0" borderId="0" xfId="0" applyFont="1" applyBorder="1" applyAlignment="1" applyProtection="1">
      <alignment horizontal="center" textRotation="90"/>
    </xf>
    <xf numFmtId="0" fontId="13" fillId="0" borderId="0" xfId="0" applyFont="1" applyAlignment="1" applyProtection="1">
      <alignment horizontal="left" vertical="center"/>
    </xf>
    <xf numFmtId="0" fontId="13" fillId="0" borderId="4" xfId="0" applyFont="1" applyBorder="1" applyAlignment="1" applyProtection="1">
      <alignment horizontal="left" vertical="center"/>
    </xf>
    <xf numFmtId="44" fontId="14" fillId="0" borderId="1" xfId="0" applyNumberFormat="1" applyFont="1" applyBorder="1" applyAlignment="1" applyProtection="1">
      <alignment horizontal="center" vertical="center"/>
    </xf>
    <xf numFmtId="44" fontId="14" fillId="0" borderId="1" xfId="1" applyFont="1" applyBorder="1" applyAlignment="1" applyProtection="1">
      <alignment horizontal="center" vertical="center"/>
    </xf>
    <xf numFmtId="0" fontId="14" fillId="0" borderId="0" xfId="0" applyFont="1" applyBorder="1" applyAlignment="1" applyProtection="1">
      <alignment horizontal="center" vertical="center"/>
    </xf>
    <xf numFmtId="0" fontId="10" fillId="2" borderId="10" xfId="0" applyFont="1" applyFill="1" applyBorder="1" applyAlignment="1" applyProtection="1">
      <alignment horizontal="center" vertical="center" wrapText="1"/>
    </xf>
    <xf numFmtId="169" fontId="13" fillId="0" borderId="1" xfId="0" applyNumberFormat="1" applyFont="1" applyBorder="1" applyAlignment="1" applyProtection="1">
      <alignment horizontal="center" vertical="center"/>
    </xf>
    <xf numFmtId="0" fontId="13" fillId="0" borderId="1" xfId="0" applyFont="1" applyBorder="1" applyAlignment="1" applyProtection="1">
      <alignment horizontal="center" vertical="center"/>
    </xf>
    <xf numFmtId="165" fontId="14" fillId="0" borderId="1" xfId="0" applyNumberFormat="1" applyFont="1" applyBorder="1" applyAlignment="1" applyProtection="1">
      <alignment horizontal="center" vertical="center"/>
    </xf>
    <xf numFmtId="0" fontId="19" fillId="0" borderId="0" xfId="0" applyFont="1" applyAlignment="1" applyProtection="1">
      <alignment horizontal="left" vertical="center"/>
    </xf>
    <xf numFmtId="0" fontId="10" fillId="2" borderId="10" xfId="0" applyFont="1" applyFill="1" applyBorder="1" applyAlignment="1" applyProtection="1">
      <alignment horizontal="center" vertical="center"/>
    </xf>
    <xf numFmtId="44" fontId="13" fillId="0" borderId="1" xfId="1" applyFont="1" applyBorder="1" applyAlignment="1" applyProtection="1">
      <alignment horizontal="center" vertical="center"/>
    </xf>
    <xf numFmtId="0" fontId="19" fillId="0" borderId="0" xfId="0" applyFont="1" applyAlignment="1" applyProtection="1">
      <alignment horizontal="right" vertical="center"/>
    </xf>
    <xf numFmtId="9" fontId="14" fillId="0" borderId="0" xfId="13" applyFont="1" applyAlignment="1" applyProtection="1">
      <alignment horizontal="center" vertical="center"/>
    </xf>
    <xf numFmtId="180" fontId="13" fillId="0" borderId="1" xfId="0" applyNumberFormat="1" applyFont="1" applyBorder="1" applyAlignment="1" applyProtection="1">
      <alignment horizontal="center" vertical="center"/>
    </xf>
    <xf numFmtId="0" fontId="19" fillId="0" borderId="0" xfId="0" applyFont="1" applyAlignment="1" applyProtection="1">
      <alignment horizontal="center" vertical="top"/>
    </xf>
    <xf numFmtId="44" fontId="14" fillId="0" borderId="0" xfId="0" applyNumberFormat="1" applyFont="1" applyBorder="1" applyAlignment="1" applyProtection="1">
      <alignment horizontal="center" vertical="center"/>
    </xf>
    <xf numFmtId="180" fontId="14" fillId="0" borderId="1" xfId="0" applyNumberFormat="1" applyFont="1" applyBorder="1" applyAlignment="1" applyProtection="1">
      <alignment horizontal="center" vertical="center"/>
    </xf>
    <xf numFmtId="0" fontId="0" fillId="0" borderId="0" xfId="0" applyAlignment="1" applyProtection="1">
      <alignment vertical="top"/>
    </xf>
    <xf numFmtId="0" fontId="0" fillId="0" borderId="0" xfId="0" applyBorder="1" applyAlignment="1" applyProtection="1">
      <alignment vertical="top"/>
    </xf>
    <xf numFmtId="0" fontId="14" fillId="0" borderId="0" xfId="0" applyFont="1" applyAlignment="1" applyProtection="1">
      <alignment vertical="top"/>
    </xf>
    <xf numFmtId="0" fontId="4" fillId="0" borderId="0" xfId="0" applyFont="1" applyBorder="1" applyAlignment="1" applyProtection="1">
      <alignment vertical="top"/>
    </xf>
    <xf numFmtId="0" fontId="4" fillId="0" borderId="0" xfId="0" applyFont="1" applyAlignment="1" applyProtection="1">
      <alignment vertical="top"/>
    </xf>
    <xf numFmtId="0" fontId="4" fillId="0" borderId="0" xfId="0" applyFont="1" applyBorder="1" applyAlignment="1" applyProtection="1">
      <alignment horizontal="left" vertical="top"/>
    </xf>
    <xf numFmtId="0" fontId="4" fillId="0" borderId="0" xfId="0" applyFont="1" applyFill="1" applyBorder="1" applyAlignment="1" applyProtection="1">
      <alignment vertical="top"/>
    </xf>
    <xf numFmtId="0" fontId="0" fillId="0" borderId="0" xfId="0" applyAlignment="1" applyProtection="1">
      <alignment horizontal="center" vertical="top"/>
    </xf>
    <xf numFmtId="0" fontId="4" fillId="0" borderId="0" xfId="0" applyFont="1" applyBorder="1" applyAlignment="1" applyProtection="1">
      <alignment horizontal="center" vertical="top"/>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3" fillId="0" borderId="0" xfId="0" applyFont="1" applyAlignment="1" applyProtection="1">
      <alignment vertical="top"/>
    </xf>
    <xf numFmtId="0" fontId="4" fillId="0" borderId="0" xfId="0" applyFont="1" applyAlignment="1" applyProtection="1">
      <alignment horizontal="center" vertical="top"/>
    </xf>
    <xf numFmtId="0" fontId="3" fillId="0" borderId="0" xfId="0" applyFont="1" applyAlignment="1" applyProtection="1">
      <alignment horizontal="left" vertical="top"/>
    </xf>
    <xf numFmtId="0" fontId="24" fillId="0" borderId="0" xfId="0" applyFont="1" applyAlignment="1" applyProtection="1">
      <alignment vertical="top"/>
    </xf>
    <xf numFmtId="185" fontId="14" fillId="0" borderId="1" xfId="0" applyNumberFormat="1" applyFont="1" applyBorder="1" applyAlignment="1" applyProtection="1">
      <alignment horizontal="center" vertical="center"/>
    </xf>
    <xf numFmtId="183" fontId="14" fillId="0" borderId="1" xfId="0" applyNumberFormat="1" applyFont="1" applyBorder="1" applyAlignment="1" applyProtection="1">
      <alignment horizontal="center" vertical="center"/>
    </xf>
    <xf numFmtId="186" fontId="8" fillId="0" borderId="2" xfId="8" applyNumberFormat="1" applyFont="1" applyBorder="1" applyAlignment="1" applyProtection="1">
      <alignment horizontal="right" vertical="center"/>
    </xf>
    <xf numFmtId="186" fontId="8" fillId="0" borderId="13" xfId="8" applyNumberFormat="1" applyFont="1" applyBorder="1" applyAlignment="1" applyProtection="1">
      <alignment horizontal="right" vertical="center"/>
    </xf>
    <xf numFmtId="187" fontId="8" fillId="0" borderId="0" xfId="8" applyNumberFormat="1" applyFont="1" applyBorder="1" applyAlignment="1" applyProtection="1">
      <alignment horizontal="right" vertical="center"/>
    </xf>
    <xf numFmtId="187" fontId="8" fillId="0" borderId="8" xfId="8" applyNumberFormat="1" applyFont="1" applyBorder="1" applyAlignment="1" applyProtection="1">
      <alignment horizontal="right" vertical="center"/>
    </xf>
    <xf numFmtId="0" fontId="19" fillId="0" borderId="0" xfId="0" applyFont="1" applyBorder="1" applyAlignment="1" applyProtection="1">
      <alignment horizontal="center" vertical="center"/>
    </xf>
    <xf numFmtId="0" fontId="4" fillId="0" borderId="0" xfId="0" applyFont="1" applyAlignment="1" applyProtection="1">
      <alignment horizontal="left" vertical="top" wrapText="1"/>
    </xf>
    <xf numFmtId="0" fontId="19" fillId="0" borderId="0" xfId="0" applyFont="1" applyAlignment="1" applyProtection="1">
      <alignment horizontal="center" vertical="center"/>
    </xf>
    <xf numFmtId="0" fontId="4" fillId="0" borderId="0" xfId="0" applyFont="1" applyAlignment="1" applyProtection="1">
      <alignment horizontal="left" vertical="top" wrapText="1"/>
    </xf>
    <xf numFmtId="188" fontId="14" fillId="0" borderId="1" xfId="0" applyNumberFormat="1" applyFont="1" applyBorder="1" applyAlignment="1" applyProtection="1">
      <alignment horizontal="center" vertical="center"/>
    </xf>
    <xf numFmtId="0" fontId="4" fillId="8" borderId="0" xfId="0" applyFont="1" applyFill="1" applyProtection="1"/>
    <xf numFmtId="0" fontId="36" fillId="0" borderId="0" xfId="11" applyFont="1" applyBorder="1" applyAlignment="1" applyProtection="1">
      <alignment vertical="top"/>
    </xf>
    <xf numFmtId="165" fontId="4" fillId="3" borderId="10" xfId="0" applyNumberFormat="1" applyFont="1" applyFill="1" applyBorder="1" applyAlignment="1" applyProtection="1">
      <alignment horizontal="center"/>
      <protection locked="0"/>
    </xf>
    <xf numFmtId="165" fontId="6" fillId="0" borderId="0" xfId="2" applyNumberFormat="1" applyFont="1" applyFill="1" applyBorder="1" applyAlignment="1" applyProtection="1">
      <alignment horizontal="center"/>
    </xf>
    <xf numFmtId="165" fontId="4" fillId="3" borderId="3" xfId="0" applyNumberFormat="1" applyFont="1" applyFill="1" applyBorder="1" applyAlignment="1" applyProtection="1">
      <alignment horizontal="center"/>
      <protection locked="0"/>
    </xf>
    <xf numFmtId="167" fontId="4" fillId="4" borderId="1" xfId="12" applyNumberFormat="1" applyFont="1" applyFill="1" applyBorder="1" applyAlignment="1" applyProtection="1">
      <alignment horizontal="center"/>
    </xf>
    <xf numFmtId="168" fontId="8" fillId="0" borderId="13" xfId="7" applyNumberFormat="1" applyFont="1" applyBorder="1" applyProtection="1"/>
    <xf numFmtId="168" fontId="8" fillId="0" borderId="8" xfId="7" applyNumberFormat="1" applyFont="1" applyBorder="1" applyProtection="1"/>
    <xf numFmtId="168" fontId="8" fillId="0" borderId="15" xfId="7" applyNumberFormat="1" applyFont="1" applyBorder="1" applyProtection="1"/>
    <xf numFmtId="189" fontId="3" fillId="8" borderId="1" xfId="12" applyNumberFormat="1" applyFont="1" applyFill="1" applyBorder="1" applyProtection="1"/>
    <xf numFmtId="189" fontId="2" fillId="8" borderId="1" xfId="12" applyNumberFormat="1" applyFont="1" applyFill="1" applyBorder="1" applyProtection="1"/>
    <xf numFmtId="0" fontId="4" fillId="0" borderId="0" xfId="0" applyFont="1" applyFill="1" applyProtection="1"/>
    <xf numFmtId="189" fontId="2" fillId="0" borderId="1" xfId="12" applyNumberFormat="1" applyFont="1" applyFill="1" applyBorder="1" applyProtection="1"/>
    <xf numFmtId="189" fontId="3" fillId="0" borderId="1" xfId="12" applyNumberFormat="1" applyFont="1" applyFill="1" applyBorder="1" applyProtection="1"/>
    <xf numFmtId="0" fontId="2" fillId="0" borderId="10" xfId="0" applyFont="1" applyFill="1" applyBorder="1" applyAlignment="1" applyProtection="1">
      <alignment horizontal="center"/>
    </xf>
    <xf numFmtId="0" fontId="2" fillId="0" borderId="10" xfId="0" applyFont="1" applyBorder="1" applyAlignment="1" applyProtection="1">
      <alignment horizontal="center"/>
    </xf>
    <xf numFmtId="0" fontId="0" fillId="0" borderId="1" xfId="0" applyBorder="1" applyProtection="1"/>
    <xf numFmtId="181" fontId="0" fillId="0" borderId="1" xfId="0" applyNumberFormat="1" applyBorder="1" applyAlignment="1" applyProtection="1">
      <alignment horizontal="center"/>
    </xf>
    <xf numFmtId="0" fontId="0" fillId="0" borderId="1" xfId="0" applyBorder="1" applyAlignment="1" applyProtection="1">
      <alignment horizontal="center"/>
    </xf>
    <xf numFmtId="0" fontId="0" fillId="12" borderId="1" xfId="0" applyFill="1" applyBorder="1" applyProtection="1"/>
    <xf numFmtId="0" fontId="0" fillId="0" borderId="1" xfId="0" applyFill="1" applyBorder="1" applyProtection="1"/>
    <xf numFmtId="0" fontId="2" fillId="2" borderId="0" xfId="0" applyFont="1" applyFill="1" applyBorder="1" applyAlignment="1" applyProtection="1"/>
    <xf numFmtId="0" fontId="0" fillId="0" borderId="0" xfId="0" applyBorder="1" applyProtection="1"/>
    <xf numFmtId="0" fontId="4" fillId="0" borderId="1" xfId="0" applyFont="1" applyBorder="1" applyAlignment="1" applyProtection="1">
      <alignment wrapText="1"/>
    </xf>
    <xf numFmtId="0" fontId="4" fillId="0" borderId="1" xfId="0" applyFont="1" applyBorder="1" applyProtection="1"/>
    <xf numFmtId="190" fontId="4" fillId="0" borderId="1" xfId="0" applyNumberFormat="1" applyFont="1" applyBorder="1" applyProtection="1"/>
    <xf numFmtId="43" fontId="4" fillId="0" borderId="1" xfId="0" applyNumberFormat="1" applyFont="1" applyBorder="1" applyProtection="1"/>
    <xf numFmtId="2" fontId="4" fillId="4" borderId="1" xfId="0" applyNumberFormat="1" applyFont="1" applyFill="1" applyBorder="1" applyAlignment="1" applyProtection="1">
      <alignment horizontal="right"/>
    </xf>
    <xf numFmtId="181" fontId="4" fillId="4" borderId="1" xfId="0" applyNumberFormat="1" applyFont="1" applyFill="1" applyBorder="1" applyAlignment="1" applyProtection="1">
      <alignment horizontal="right"/>
    </xf>
    <xf numFmtId="184" fontId="6" fillId="0" borderId="1" xfId="2" applyNumberFormat="1" applyFont="1" applyFill="1" applyBorder="1" applyAlignment="1" applyProtection="1">
      <alignment horizontal="right"/>
    </xf>
    <xf numFmtId="4" fontId="6" fillId="0" borderId="1" xfId="2" applyNumberFormat="1" applyFont="1" applyFill="1" applyBorder="1" applyAlignment="1" applyProtection="1">
      <alignment horizontal="right"/>
    </xf>
    <xf numFmtId="2" fontId="4" fillId="4" borderId="1" xfId="12" applyNumberFormat="1" applyFont="1" applyFill="1" applyBorder="1" applyAlignment="1" applyProtection="1">
      <alignment horizontal="right"/>
    </xf>
    <xf numFmtId="181" fontId="4" fillId="4" borderId="1" xfId="12" applyNumberFormat="1" applyFont="1" applyFill="1" applyBorder="1" applyAlignment="1" applyProtection="1">
      <alignment horizontal="right"/>
    </xf>
    <xf numFmtId="181" fontId="6" fillId="0" borderId="1" xfId="12" applyNumberFormat="1" applyFont="1" applyFill="1" applyBorder="1" applyAlignment="1" applyProtection="1">
      <alignment horizontal="right"/>
    </xf>
    <xf numFmtId="2" fontId="6" fillId="0" borderId="1" xfId="12" applyNumberFormat="1" applyFont="1" applyFill="1" applyBorder="1" applyAlignment="1" applyProtection="1">
      <alignment horizontal="right"/>
    </xf>
    <xf numFmtId="169" fontId="4" fillId="4" borderId="1" xfId="12" applyNumberFormat="1" applyFont="1" applyFill="1" applyBorder="1" applyAlignment="1" applyProtection="1">
      <alignment horizontal="center"/>
    </xf>
    <xf numFmtId="169" fontId="4" fillId="4" borderId="10" xfId="12" applyNumberFormat="1" applyFont="1" applyFill="1" applyBorder="1" applyAlignment="1" applyProtection="1">
      <alignment horizontal="center"/>
    </xf>
    <xf numFmtId="169" fontId="6" fillId="0" borderId="1" xfId="12" applyNumberFormat="1" applyFont="1" applyFill="1" applyBorder="1" applyAlignment="1" applyProtection="1">
      <alignment horizontal="center"/>
    </xf>
    <xf numFmtId="169" fontId="4" fillId="0" borderId="1" xfId="12" applyNumberFormat="1" applyFont="1" applyBorder="1" applyAlignment="1" applyProtection="1">
      <alignment horizontal="center"/>
    </xf>
    <xf numFmtId="0" fontId="0" fillId="0" borderId="0" xfId="0" applyAlignment="1" applyProtection="1">
      <alignment vertical="center"/>
    </xf>
    <xf numFmtId="0" fontId="4" fillId="0" borderId="5" xfId="0" applyFont="1" applyBorder="1" applyAlignment="1" applyProtection="1">
      <alignment horizontal="center"/>
    </xf>
    <xf numFmtId="0" fontId="3" fillId="2"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protection locked="0"/>
    </xf>
    <xf numFmtId="169" fontId="38" fillId="0" borderId="0" xfId="12" applyNumberFormat="1" applyFont="1" applyFill="1" applyBorder="1" applyAlignment="1" applyProtection="1">
      <alignment horizontal="center"/>
    </xf>
    <xf numFmtId="43" fontId="4" fillId="0" borderId="1" xfId="12" applyFont="1" applyBorder="1" applyProtection="1"/>
    <xf numFmtId="0" fontId="4" fillId="0" borderId="0" xfId="0" applyFont="1" applyBorder="1" applyAlignment="1" applyProtection="1">
      <alignment horizontal="center"/>
    </xf>
    <xf numFmtId="0" fontId="12" fillId="0" borderId="0" xfId="0" applyFont="1" applyAlignment="1" applyProtection="1">
      <alignment horizontal="left"/>
    </xf>
    <xf numFmtId="167" fontId="8" fillId="0" borderId="0" xfId="12" applyNumberFormat="1" applyFont="1" applyBorder="1" applyProtection="1"/>
    <xf numFmtId="0" fontId="4" fillId="2" borderId="21" xfId="0" applyFont="1" applyFill="1" applyBorder="1" applyProtection="1"/>
    <xf numFmtId="0" fontId="7" fillId="0" borderId="0" xfId="3" applyProtection="1"/>
    <xf numFmtId="167" fontId="8" fillId="0" borderId="0" xfId="12" applyNumberFormat="1" applyFont="1" applyBorder="1" applyAlignment="1" applyProtection="1">
      <alignment horizontal="right"/>
    </xf>
    <xf numFmtId="0" fontId="0" fillId="0" borderId="0" xfId="0" applyAlignment="1" applyProtection="1"/>
    <xf numFmtId="0" fontId="0" fillId="0" borderId="25" xfId="0" applyBorder="1" applyProtection="1"/>
    <xf numFmtId="0" fontId="0" fillId="0" borderId="26" xfId="0" applyBorder="1" applyProtection="1"/>
    <xf numFmtId="18" fontId="4" fillId="3"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xf>
    <xf numFmtId="181" fontId="4" fillId="0" borderId="1" xfId="0" applyNumberFormat="1" applyFont="1" applyBorder="1" applyProtection="1"/>
    <xf numFmtId="3" fontId="4" fillId="3" borderId="3" xfId="0" applyNumberFormat="1" applyFont="1" applyFill="1" applyBorder="1" applyAlignment="1" applyProtection="1">
      <alignment horizontal="center"/>
      <protection locked="0"/>
    </xf>
    <xf numFmtId="169" fontId="4" fillId="0" borderId="1" xfId="0" applyNumberFormat="1" applyFont="1" applyBorder="1" applyProtection="1"/>
    <xf numFmtId="0" fontId="4" fillId="8" borderId="1" xfId="0" applyFont="1" applyFill="1" applyBorder="1" applyAlignment="1" applyProtection="1">
      <alignment wrapText="1"/>
    </xf>
    <xf numFmtId="165" fontId="4" fillId="8" borderId="1" xfId="0" applyNumberFormat="1" applyFont="1" applyFill="1" applyBorder="1" applyProtection="1"/>
    <xf numFmtId="169" fontId="4" fillId="8" borderId="1" xfId="0" applyNumberFormat="1" applyFont="1" applyFill="1" applyBorder="1" applyProtection="1"/>
    <xf numFmtId="181" fontId="4" fillId="8" borderId="1" xfId="0" applyNumberFormat="1" applyFont="1" applyFill="1" applyBorder="1" applyProtection="1"/>
    <xf numFmtId="190" fontId="4" fillId="8" borderId="1" xfId="0" applyNumberFormat="1" applyFont="1" applyFill="1" applyBorder="1" applyProtection="1"/>
    <xf numFmtId="3" fontId="4" fillId="3" borderId="10" xfId="0" applyNumberFormat="1" applyFont="1" applyFill="1" applyBorder="1" applyAlignment="1" applyProtection="1">
      <alignment horizontal="center"/>
      <protection locked="0"/>
    </xf>
    <xf numFmtId="0" fontId="0" fillId="0" borderId="4" xfId="0" applyBorder="1" applyProtection="1"/>
    <xf numFmtId="0" fontId="0" fillId="0" borderId="3" xfId="0" applyBorder="1" applyProtection="1"/>
    <xf numFmtId="0" fontId="0" fillId="0" borderId="28" xfId="0" applyBorder="1" applyProtection="1"/>
    <xf numFmtId="0" fontId="0" fillId="0" borderId="29" xfId="0" applyBorder="1" applyProtection="1"/>
    <xf numFmtId="0" fontId="0" fillId="0" borderId="10" xfId="0" applyBorder="1" applyProtection="1"/>
    <xf numFmtId="0" fontId="0" fillId="0" borderId="17" xfId="0" applyBorder="1" applyProtection="1"/>
    <xf numFmtId="0" fontId="47" fillId="8" borderId="27" xfId="0" applyFont="1" applyFill="1" applyBorder="1" applyProtection="1"/>
    <xf numFmtId="0" fontId="47" fillId="8" borderId="24" xfId="0" applyFont="1" applyFill="1" applyBorder="1" applyProtection="1"/>
    <xf numFmtId="0" fontId="47" fillId="8" borderId="25" xfId="0" applyFont="1" applyFill="1" applyBorder="1" applyProtection="1"/>
    <xf numFmtId="0" fontId="47" fillId="8" borderId="1" xfId="0" applyFont="1" applyFill="1" applyBorder="1" applyProtection="1"/>
    <xf numFmtId="0" fontId="47" fillId="8" borderId="26" xfId="0" applyFont="1" applyFill="1" applyBorder="1" applyProtection="1"/>
    <xf numFmtId="0" fontId="47" fillId="8" borderId="3" xfId="0" applyFont="1" applyFill="1" applyBorder="1" applyProtection="1"/>
    <xf numFmtId="193" fontId="4" fillId="8" borderId="1" xfId="0" applyNumberFormat="1" applyFont="1" applyFill="1" applyBorder="1" applyProtection="1"/>
    <xf numFmtId="193" fontId="4" fillId="0" borderId="1" xfId="0" applyNumberFormat="1" applyFont="1" applyBorder="1" applyProtection="1"/>
    <xf numFmtId="44" fontId="4" fillId="0" borderId="1" xfId="0" applyNumberFormat="1" applyFont="1" applyBorder="1" applyProtection="1"/>
    <xf numFmtId="166" fontId="4" fillId="8" borderId="1" xfId="1" applyNumberFormat="1" applyFont="1" applyFill="1" applyBorder="1" applyProtection="1"/>
    <xf numFmtId="166" fontId="4" fillId="0" borderId="1" xfId="1" applyNumberFormat="1" applyFont="1" applyBorder="1" applyProtection="1"/>
    <xf numFmtId="0" fontId="23" fillId="0" borderId="0" xfId="0" applyFont="1" applyAlignment="1" applyProtection="1">
      <alignment horizontal="center"/>
    </xf>
    <xf numFmtId="0" fontId="49" fillId="15" borderId="1" xfId="16" applyFont="1" applyBorder="1" applyProtection="1"/>
    <xf numFmtId="0" fontId="4" fillId="3" borderId="1" xfId="0" applyFont="1" applyFill="1" applyBorder="1" applyAlignment="1" applyProtection="1">
      <alignment horizontal="center"/>
      <protection locked="0"/>
    </xf>
    <xf numFmtId="0" fontId="4" fillId="0" borderId="0" xfId="0" applyFont="1" applyAlignment="1">
      <alignment horizontal="left" vertical="top"/>
    </xf>
    <xf numFmtId="0" fontId="4" fillId="0" borderId="0" xfId="0" applyFont="1" applyAlignment="1">
      <alignment vertical="top"/>
    </xf>
    <xf numFmtId="0" fontId="0" fillId="0" borderId="0" xfId="0" applyAlignment="1">
      <alignment horizontal="center" vertical="top"/>
    </xf>
    <xf numFmtId="0" fontId="0" fillId="0" borderId="0" xfId="0" applyAlignment="1">
      <alignment vertical="top"/>
    </xf>
    <xf numFmtId="0" fontId="0" fillId="0" borderId="18" xfId="0" applyBorder="1" applyAlignment="1" applyProtection="1">
      <alignment horizontal="left" vertical="center" wrapText="1"/>
    </xf>
    <xf numFmtId="0" fontId="0" fillId="0" borderId="19" xfId="0" applyBorder="1" applyAlignment="1" applyProtection="1">
      <alignment horizontal="left" vertical="center"/>
    </xf>
    <xf numFmtId="0" fontId="0" fillId="2" borderId="18"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19" xfId="0" applyFill="1" applyBorder="1" applyAlignment="1" applyProtection="1">
      <alignment horizontal="center" vertical="center"/>
    </xf>
    <xf numFmtId="0" fontId="22" fillId="0" borderId="0" xfId="11" applyFont="1" applyAlignment="1" applyProtection="1">
      <alignment horizontal="center" vertical="top"/>
    </xf>
    <xf numFmtId="0" fontId="3" fillId="0" borderId="0" xfId="0" applyFont="1" applyAlignment="1" applyProtection="1">
      <alignment horizontal="center" vertical="top"/>
    </xf>
    <xf numFmtId="0" fontId="30" fillId="10" borderId="0" xfId="0" applyFont="1" applyFill="1" applyAlignment="1" applyProtection="1">
      <alignment horizontal="left" vertical="top"/>
    </xf>
    <xf numFmtId="0" fontId="4" fillId="0" borderId="0" xfId="0" applyFont="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0" xfId="0" applyFont="1" applyAlignment="1" applyProtection="1">
      <alignment horizontal="left" vertical="top" wrapText="1"/>
    </xf>
    <xf numFmtId="0" fontId="33" fillId="0" borderId="0" xfId="0" applyFont="1" applyBorder="1" applyAlignment="1" applyProtection="1">
      <alignment horizontal="left" vertical="top" wrapText="1"/>
    </xf>
    <xf numFmtId="0" fontId="30" fillId="10" borderId="0" xfId="0" applyFont="1" applyFill="1" applyAlignment="1">
      <alignment horizontal="left"/>
    </xf>
    <xf numFmtId="0" fontId="33" fillId="0" borderId="0" xfId="0" applyFont="1" applyAlignment="1">
      <alignment horizontal="left" vertical="top" wrapText="1"/>
    </xf>
    <xf numFmtId="0" fontId="31" fillId="0" borderId="0" xfId="0" applyFont="1" applyAlignment="1">
      <alignment horizontal="left" vertical="top" wrapText="1"/>
    </xf>
    <xf numFmtId="0" fontId="20" fillId="0" borderId="0" xfId="11" applyAlignment="1">
      <alignment horizontal="left" vertical="top"/>
    </xf>
    <xf numFmtId="176" fontId="4" fillId="3" borderId="3" xfId="0" applyNumberFormat="1" applyFont="1" applyFill="1" applyBorder="1" applyAlignment="1" applyProtection="1">
      <alignment horizontal="center"/>
      <protection locked="0"/>
    </xf>
    <xf numFmtId="176" fontId="4" fillId="3" borderId="4" xfId="0" applyNumberFormat="1" applyFont="1" applyFill="1" applyBorder="1" applyAlignment="1" applyProtection="1">
      <alignment horizontal="center"/>
      <protection locked="0"/>
    </xf>
    <xf numFmtId="0" fontId="0" fillId="3" borderId="17"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0" fillId="3" borderId="0" xfId="0" applyFont="1" applyFill="1" applyBorder="1" applyAlignment="1" applyProtection="1">
      <alignment horizontal="left" vertical="top" wrapText="1"/>
      <protection locked="0"/>
    </xf>
    <xf numFmtId="0" fontId="0" fillId="3" borderId="8" xfId="0" applyFont="1" applyFill="1" applyBorder="1" applyAlignment="1" applyProtection="1">
      <alignment horizontal="left" vertical="top" wrapText="1"/>
      <protection locked="0"/>
    </xf>
    <xf numFmtId="0" fontId="0" fillId="3" borderId="9" xfId="0" applyFont="1" applyFill="1" applyBorder="1" applyAlignment="1" applyProtection="1">
      <alignment horizontal="left" vertical="top" wrapText="1"/>
      <protection locked="0"/>
    </xf>
    <xf numFmtId="0" fontId="0" fillId="3" borderId="5" xfId="0" applyFont="1" applyFill="1" applyBorder="1" applyAlignment="1" applyProtection="1">
      <alignment horizontal="left" vertical="top" wrapText="1"/>
      <protection locked="0"/>
    </xf>
    <xf numFmtId="0" fontId="0" fillId="3" borderId="15" xfId="0" applyFont="1" applyFill="1" applyBorder="1" applyAlignment="1" applyProtection="1">
      <alignment horizontal="left" vertical="top" wrapText="1"/>
      <protection locked="0"/>
    </xf>
    <xf numFmtId="0" fontId="4" fillId="3" borderId="3"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0" fontId="43" fillId="0" borderId="18" xfId="0" applyFont="1" applyBorder="1" applyAlignment="1" applyProtection="1">
      <alignment horizontal="left" vertical="center" wrapText="1"/>
    </xf>
    <xf numFmtId="0" fontId="43" fillId="0" borderId="20" xfId="0" applyFont="1" applyBorder="1" applyAlignment="1" applyProtection="1">
      <alignment horizontal="left" vertical="center" wrapText="1"/>
    </xf>
    <xf numFmtId="0" fontId="43" fillId="0" borderId="19" xfId="0" applyFont="1" applyBorder="1" applyAlignment="1" applyProtection="1">
      <alignment horizontal="left" vertical="center" wrapText="1"/>
    </xf>
    <xf numFmtId="0" fontId="3" fillId="2" borderId="3"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41" fontId="4" fillId="0" borderId="3" xfId="0" applyNumberFormat="1" applyFont="1" applyFill="1" applyBorder="1" applyAlignment="1" applyProtection="1">
      <alignment horizontal="center"/>
    </xf>
    <xf numFmtId="41" fontId="4" fillId="0" borderId="4" xfId="0" applyNumberFormat="1" applyFont="1" applyFill="1" applyBorder="1" applyAlignment="1" applyProtection="1">
      <alignment horizontal="center"/>
    </xf>
    <xf numFmtId="179" fontId="4" fillId="3" borderId="3" xfId="0" applyNumberFormat="1" applyFont="1" applyFill="1" applyBorder="1" applyAlignment="1" applyProtection="1">
      <alignment horizontal="center"/>
      <protection locked="0"/>
    </xf>
    <xf numFmtId="179" fontId="4" fillId="3" borderId="4" xfId="0" applyNumberFormat="1" applyFont="1" applyFill="1" applyBorder="1" applyAlignment="1" applyProtection="1">
      <alignment horizontal="center"/>
      <protection locked="0"/>
    </xf>
    <xf numFmtId="0" fontId="3" fillId="2" borderId="1" xfId="0" applyFont="1" applyFill="1" applyBorder="1" applyAlignment="1" applyProtection="1">
      <alignment horizontal="left"/>
    </xf>
    <xf numFmtId="179" fontId="3" fillId="0" borderId="1" xfId="0" applyNumberFormat="1" applyFont="1" applyFill="1" applyBorder="1" applyAlignment="1" applyProtection="1">
      <alignment horizontal="center"/>
    </xf>
    <xf numFmtId="44" fontId="3" fillId="0" borderId="3" xfId="0" applyNumberFormat="1" applyFont="1" applyBorder="1" applyAlignment="1" applyProtection="1">
      <alignment horizontal="right"/>
    </xf>
    <xf numFmtId="44" fontId="3" fillId="0" borderId="4" xfId="0" applyNumberFormat="1" applyFont="1" applyBorder="1" applyAlignment="1" applyProtection="1">
      <alignment horizontal="right"/>
    </xf>
    <xf numFmtId="0" fontId="3" fillId="0" borderId="1" xfId="0" applyFont="1" applyBorder="1" applyAlignment="1" applyProtection="1">
      <alignment horizontal="center"/>
    </xf>
    <xf numFmtId="0" fontId="3" fillId="2" borderId="3" xfId="0" applyFont="1" applyFill="1" applyBorder="1" applyAlignment="1" applyProtection="1">
      <alignment horizontal="left"/>
    </xf>
    <xf numFmtId="0" fontId="3" fillId="2" borderId="4" xfId="0" applyFont="1" applyFill="1" applyBorder="1" applyAlignment="1" applyProtection="1">
      <alignment horizontal="left"/>
    </xf>
    <xf numFmtId="183" fontId="3" fillId="0" borderId="1" xfId="0" applyNumberFormat="1" applyFont="1" applyBorder="1" applyAlignment="1" applyProtection="1">
      <alignment horizontal="right"/>
    </xf>
    <xf numFmtId="182" fontId="3" fillId="0" borderId="1" xfId="0" applyNumberFormat="1" applyFont="1" applyBorder="1" applyAlignment="1" applyProtection="1">
      <alignment horizontal="right"/>
    </xf>
    <xf numFmtId="192" fontId="3" fillId="0" borderId="1" xfId="0" applyNumberFormat="1" applyFont="1" applyBorder="1" applyAlignment="1" applyProtection="1">
      <alignment horizontal="right"/>
    </xf>
    <xf numFmtId="44" fontId="4" fillId="0" borderId="1" xfId="0" applyNumberFormat="1" applyFont="1" applyBorder="1" applyAlignment="1" applyProtection="1">
      <alignment horizontal="center"/>
    </xf>
    <xf numFmtId="0" fontId="4" fillId="0" borderId="1" xfId="0" applyFont="1" applyBorder="1" applyAlignment="1" applyProtection="1">
      <alignment horizontal="center"/>
    </xf>
    <xf numFmtId="44" fontId="3" fillId="0" borderId="1" xfId="0" applyNumberFormat="1" applyFont="1" applyBorder="1" applyAlignment="1" applyProtection="1">
      <alignment horizontal="center"/>
    </xf>
    <xf numFmtId="0" fontId="3" fillId="2" borderId="1" xfId="0" applyFont="1" applyFill="1" applyBorder="1" applyAlignment="1" applyProtection="1">
      <alignment horizontal="center" vertical="center" wrapText="1"/>
    </xf>
    <xf numFmtId="0" fontId="44" fillId="14" borderId="3" xfId="0" applyFont="1" applyFill="1" applyBorder="1" applyAlignment="1" applyProtection="1">
      <alignment horizontal="center"/>
      <protection locked="0"/>
    </xf>
    <xf numFmtId="0" fontId="44" fillId="14" borderId="4" xfId="0" applyFont="1" applyFill="1" applyBorder="1" applyAlignment="1" applyProtection="1">
      <alignment horizontal="center"/>
      <protection locked="0"/>
    </xf>
    <xf numFmtId="0" fontId="4" fillId="0" borderId="5" xfId="0" applyFont="1" applyBorder="1" applyAlignment="1" applyProtection="1">
      <alignment horizontal="center"/>
    </xf>
    <xf numFmtId="0" fontId="4" fillId="3" borderId="1" xfId="0" applyFont="1" applyFill="1" applyBorder="1" applyAlignment="1" applyProtection="1">
      <alignment horizontal="center"/>
      <protection locked="0"/>
    </xf>
    <xf numFmtId="44" fontId="4" fillId="3" borderId="3" xfId="1" applyFont="1" applyFill="1" applyBorder="1" applyAlignment="1" applyProtection="1">
      <alignment horizontal="center"/>
      <protection locked="0"/>
    </xf>
    <xf numFmtId="44" fontId="4" fillId="3" borderId="4" xfId="1" applyFont="1" applyFill="1" applyBorder="1" applyAlignment="1" applyProtection="1">
      <alignment horizontal="center"/>
      <protection locked="0"/>
    </xf>
    <xf numFmtId="44" fontId="3" fillId="3" borderId="3" xfId="1" applyNumberFormat="1" applyFont="1" applyFill="1" applyBorder="1" applyAlignment="1" applyProtection="1">
      <alignment horizontal="center"/>
      <protection locked="0"/>
    </xf>
    <xf numFmtId="44" fontId="3" fillId="3" borderId="4" xfId="1" applyNumberFormat="1" applyFont="1" applyFill="1" applyBorder="1" applyAlignment="1" applyProtection="1">
      <alignment horizontal="center"/>
      <protection locked="0"/>
    </xf>
    <xf numFmtId="1" fontId="4" fillId="3" borderId="1" xfId="0" applyNumberFormat="1" applyFont="1" applyFill="1" applyBorder="1" applyAlignment="1" applyProtection="1">
      <alignment horizontal="center"/>
      <protection locked="0"/>
    </xf>
    <xf numFmtId="0" fontId="4" fillId="3" borderId="1" xfId="0" applyNumberFormat="1" applyFont="1" applyFill="1" applyBorder="1" applyAlignment="1" applyProtection="1">
      <alignment horizontal="center"/>
      <protection locked="0"/>
    </xf>
    <xf numFmtId="175" fontId="4" fillId="4" borderId="6" xfId="1" applyNumberFormat="1" applyFont="1" applyFill="1" applyBorder="1" applyAlignment="1" applyProtection="1">
      <alignment horizontal="center"/>
    </xf>
    <xf numFmtId="175" fontId="4" fillId="4" borderId="4" xfId="1" applyNumberFormat="1" applyFont="1" applyFill="1" applyBorder="1" applyAlignment="1" applyProtection="1">
      <alignment horizontal="center"/>
    </xf>
    <xf numFmtId="174" fontId="4" fillId="4" borderId="3" xfId="1" applyNumberFormat="1" applyFont="1" applyFill="1" applyBorder="1" applyAlignment="1" applyProtection="1">
      <alignment horizontal="center"/>
    </xf>
    <xf numFmtId="174" fontId="4" fillId="4" borderId="4" xfId="1" applyNumberFormat="1" applyFont="1" applyFill="1" applyBorder="1" applyAlignment="1" applyProtection="1">
      <alignment horizontal="center"/>
    </xf>
    <xf numFmtId="0" fontId="3" fillId="2" borderId="1" xfId="0" applyFont="1" applyFill="1" applyBorder="1" applyAlignment="1" applyProtection="1"/>
    <xf numFmtId="0" fontId="3" fillId="2" borderId="3" xfId="0" applyFont="1" applyFill="1" applyBorder="1" applyAlignment="1" applyProtection="1"/>
    <xf numFmtId="0" fontId="3" fillId="2" borderId="4" xfId="0" applyFont="1" applyFill="1" applyBorder="1" applyAlignment="1" applyProtection="1"/>
    <xf numFmtId="175" fontId="4" fillId="4" borderId="3" xfId="1" applyNumberFormat="1" applyFont="1" applyFill="1" applyBorder="1" applyAlignment="1" applyProtection="1">
      <alignment horizontal="center"/>
    </xf>
    <xf numFmtId="1" fontId="4" fillId="3" borderId="3" xfId="0" applyNumberFormat="1" applyFont="1" applyFill="1" applyBorder="1" applyAlignment="1" applyProtection="1">
      <alignment horizontal="center"/>
      <protection locked="0"/>
    </xf>
    <xf numFmtId="1" fontId="4" fillId="3" borderId="4" xfId="0" applyNumberFormat="1" applyFont="1" applyFill="1" applyBorder="1" applyAlignment="1" applyProtection="1">
      <alignment horizontal="center"/>
      <protection locked="0"/>
    </xf>
    <xf numFmtId="0" fontId="13" fillId="9" borderId="11" xfId="0" applyFont="1" applyFill="1" applyBorder="1" applyAlignment="1" applyProtection="1">
      <alignment horizontal="center" textRotation="90"/>
    </xf>
    <xf numFmtId="0" fontId="13" fillId="9" borderId="12" xfId="0" applyFont="1" applyFill="1" applyBorder="1" applyAlignment="1" applyProtection="1">
      <alignment horizontal="center" textRotation="90"/>
    </xf>
    <xf numFmtId="0" fontId="13" fillId="9" borderId="14" xfId="0" applyFont="1" applyFill="1" applyBorder="1" applyAlignment="1" applyProtection="1">
      <alignment horizontal="center" textRotation="90"/>
    </xf>
    <xf numFmtId="0" fontId="13" fillId="7" borderId="11" xfId="0" applyFont="1" applyFill="1" applyBorder="1" applyAlignment="1" applyProtection="1">
      <alignment horizontal="center" textRotation="90"/>
    </xf>
    <xf numFmtId="0" fontId="13" fillId="7" borderId="12" xfId="0" applyFont="1" applyFill="1" applyBorder="1" applyAlignment="1" applyProtection="1">
      <alignment horizontal="center" textRotation="90"/>
    </xf>
    <xf numFmtId="0" fontId="13" fillId="7" borderId="14" xfId="0" applyFont="1" applyFill="1" applyBorder="1" applyAlignment="1" applyProtection="1">
      <alignment horizontal="center" textRotation="90"/>
    </xf>
    <xf numFmtId="0" fontId="13" fillId="8" borderId="11" xfId="0" applyFont="1" applyFill="1" applyBorder="1" applyAlignment="1" applyProtection="1">
      <alignment horizontal="center" textRotation="90"/>
    </xf>
    <xf numFmtId="0" fontId="13" fillId="8" borderId="12" xfId="0" applyFont="1" applyFill="1" applyBorder="1" applyAlignment="1" applyProtection="1">
      <alignment horizontal="center" textRotation="90"/>
    </xf>
    <xf numFmtId="0" fontId="13" fillId="8" borderId="14" xfId="0" applyFont="1" applyFill="1" applyBorder="1" applyAlignment="1" applyProtection="1">
      <alignment horizontal="center" textRotation="90"/>
    </xf>
    <xf numFmtId="0" fontId="7" fillId="0" borderId="0" xfId="3" applyProtection="1"/>
    <xf numFmtId="0" fontId="37" fillId="13" borderId="22" xfId="0" applyFont="1" applyFill="1" applyBorder="1" applyAlignment="1" applyProtection="1">
      <alignment horizontal="center" wrapText="1"/>
    </xf>
    <xf numFmtId="0" fontId="37" fillId="13" borderId="23" xfId="0" applyFont="1" applyFill="1" applyBorder="1" applyAlignment="1" applyProtection="1">
      <alignment horizontal="center" wrapText="1"/>
    </xf>
    <xf numFmtId="0" fontId="37" fillId="13" borderId="24" xfId="0" applyFont="1" applyFill="1" applyBorder="1" applyAlignment="1" applyProtection="1">
      <alignment horizontal="center" wrapText="1"/>
    </xf>
    <xf numFmtId="0" fontId="37" fillId="13" borderId="23" xfId="0" applyFont="1" applyFill="1" applyBorder="1" applyAlignment="1" applyProtection="1">
      <alignment horizontal="center"/>
    </xf>
    <xf numFmtId="0" fontId="37" fillId="13" borderId="24" xfId="0" applyFont="1" applyFill="1" applyBorder="1" applyAlignment="1" applyProtection="1">
      <alignment horizontal="center"/>
    </xf>
    <xf numFmtId="0" fontId="37" fillId="11" borderId="1" xfId="0" applyFont="1" applyFill="1" applyBorder="1" applyAlignment="1" applyProtection="1">
      <alignment horizontal="center" wrapText="1"/>
    </xf>
    <xf numFmtId="0" fontId="37" fillId="11" borderId="3" xfId="0" applyFont="1" applyFill="1" applyBorder="1" applyAlignment="1" applyProtection="1">
      <alignment horizontal="center" wrapText="1"/>
    </xf>
    <xf numFmtId="0" fontId="37" fillId="11" borderId="4" xfId="0" applyFont="1" applyFill="1" applyBorder="1" applyAlignment="1" applyProtection="1">
      <alignment horizontal="center" wrapText="1"/>
    </xf>
    <xf numFmtId="0" fontId="23" fillId="0" borderId="0" xfId="0" applyFont="1" applyAlignment="1" applyProtection="1">
      <alignment horizontal="left" vertical="top" wrapText="1"/>
    </xf>
  </cellXfs>
  <cellStyles count="17">
    <cellStyle name="60% - Accent3" xfId="16" builtinId="40"/>
    <cellStyle name="Comma" xfId="12" builtinId="3"/>
    <cellStyle name="Comma 10" xfId="8" xr:uid="{00000000-0005-0000-0000-000002000000}"/>
    <cellStyle name="Comma 13" xfId="2" xr:uid="{00000000-0005-0000-0000-000003000000}"/>
    <cellStyle name="Comma 2" xfId="4" xr:uid="{00000000-0005-0000-0000-000004000000}"/>
    <cellStyle name="Comma 3" xfId="15" xr:uid="{00000000-0005-0000-0000-000005000000}"/>
    <cellStyle name="Currency" xfId="1" builtinId="4"/>
    <cellStyle name="Currency 180" xfId="9" xr:uid="{00000000-0005-0000-0000-000007000000}"/>
    <cellStyle name="Currency 180 2 2" xfId="10" xr:uid="{00000000-0005-0000-0000-000008000000}"/>
    <cellStyle name="Currency 2" xfId="5" xr:uid="{00000000-0005-0000-0000-000009000000}"/>
    <cellStyle name="Hyperlink" xfId="11" builtinId="8"/>
    <cellStyle name="Normal" xfId="0" builtinId="0"/>
    <cellStyle name="Normal 224" xfId="3" xr:uid="{00000000-0005-0000-0000-00000C000000}"/>
    <cellStyle name="Normal 226" xfId="6" xr:uid="{00000000-0005-0000-0000-00000D000000}"/>
    <cellStyle name="Normal 3" xfId="14" xr:uid="{00000000-0005-0000-0000-00000E000000}"/>
    <cellStyle name="Percent" xfId="13" builtinId="5"/>
    <cellStyle name="Percent 2" xfId="7" xr:uid="{00000000-0005-0000-0000-000010000000}"/>
  </cellStyles>
  <dxfs count="33">
    <dxf>
      <border diagonalUp="0" diagonalDown="0">
        <left style="thin">
          <color indexed="64"/>
        </left>
        <right/>
        <top style="thin">
          <color indexed="64"/>
        </top>
        <bottom style="thin">
          <color indexed="64"/>
        </bottom>
        <vertical/>
        <horizontal/>
      </border>
      <protection locked="1" hidden="0"/>
    </dxf>
    <dxf>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medium">
          <color indexed="64"/>
        </left>
        <right style="thin">
          <color indexed="64"/>
        </right>
        <top style="thin">
          <color indexed="64"/>
        </top>
        <bottom style="thin">
          <color indexed="64"/>
        </bottom>
        <vertical/>
        <horizontal/>
      </border>
      <protection locked="1" hidden="0"/>
    </dxf>
    <dxf>
      <border diagonalUp="0" diagonalDown="0">
        <left style="thin">
          <color indexed="64"/>
        </left>
        <right style="medium">
          <color indexed="64"/>
        </right>
        <top style="thin">
          <color indexed="64"/>
        </top>
        <bottom style="thin">
          <color indexed="64"/>
        </bottom>
        <vertical/>
        <horizontal/>
      </border>
      <protection locked="1" hidden="0"/>
    </dxf>
    <dxf>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medium">
          <color indexed="64"/>
        </left>
        <right style="thin">
          <color indexed="64"/>
        </right>
        <top style="thin">
          <color indexed="64"/>
        </top>
        <bottom style="thin">
          <color indexed="64"/>
        </bottom>
        <vertical/>
        <horizontal/>
      </border>
      <protection locked="1" hidden="0"/>
    </dxf>
    <dxf>
      <border diagonalUp="0" diagonalDown="0">
        <left style="thin">
          <color indexed="64"/>
        </left>
        <right style="medium">
          <color indexed="64"/>
        </right>
        <top style="thin">
          <color indexed="64"/>
        </top>
        <bottom style="thin">
          <color indexed="64"/>
        </bottom>
        <vertical/>
        <horizontal/>
      </border>
      <protection locked="1" hidden="0"/>
    </dxf>
    <dxf>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medium">
          <color indexed="64"/>
        </left>
        <right style="thin">
          <color indexed="64"/>
        </right>
        <top style="thin">
          <color indexed="64"/>
        </top>
        <bottom style="thin">
          <color indexed="64"/>
        </bottom>
        <vertical/>
        <horizontal/>
      </border>
      <protection locked="1" hidden="0"/>
    </dxf>
    <dxf>
      <border diagonalUp="0" diagonalDown="0">
        <left style="thin">
          <color indexed="64"/>
        </left>
        <right style="medium">
          <color indexed="64"/>
        </right>
        <top style="thin">
          <color indexed="64"/>
        </top>
        <bottom style="thin">
          <color indexed="64"/>
        </bottom>
        <vertical/>
        <horizontal/>
      </border>
      <protection locked="1" hidden="0"/>
    </dxf>
    <dxf>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medium">
          <color indexed="64"/>
        </left>
        <right style="thin">
          <color indexed="64"/>
        </right>
        <top style="thin">
          <color indexed="64"/>
        </top>
        <bottom style="thin">
          <color indexed="64"/>
        </bottom>
        <vertical/>
        <horizontal/>
      </border>
      <protection locked="1" hidden="0"/>
    </dxf>
    <dxf>
      <border diagonalUp="0" diagonalDown="0">
        <left style="thin">
          <color indexed="64"/>
        </left>
        <right style="medium">
          <color indexed="64"/>
        </right>
        <top style="thin">
          <color indexed="64"/>
        </top>
        <bottom style="thin">
          <color indexed="64"/>
        </bottom>
        <vertical/>
        <horizontal/>
      </border>
      <protection locked="1" hidden="0"/>
    </dxf>
    <dxf>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indexed="64"/>
        </left>
        <right style="medium">
          <color indexed="64"/>
        </right>
        <bottom style="medium">
          <color indexed="64"/>
        </bottom>
      </border>
    </dxf>
    <dxf>
      <border outline="0">
        <bottom style="thin">
          <color indexed="64"/>
        </bottom>
      </border>
    </dxf>
    <dxf>
      <font>
        <strike val="0"/>
        <outline val="0"/>
        <shadow val="0"/>
        <u val="none"/>
        <vertAlign val="baseline"/>
        <sz val="11"/>
        <color auto="1"/>
        <name val="Calibri"/>
        <scheme val="none"/>
      </font>
      <fill>
        <patternFill patternType="solid">
          <fgColor indexed="64"/>
          <bgColor theme="0" tint="-4.9989318521683403E-2"/>
        </patternFill>
      </fill>
      <border diagonalUp="0" diagonalDown="0" outline="0">
        <left style="thin">
          <color indexed="64"/>
        </left>
        <right style="thin">
          <color indexed="64"/>
        </right>
        <top/>
        <bottom/>
      </border>
      <protection locked="1" hidden="0"/>
    </dxf>
    <dxf>
      <font>
        <b val="0"/>
        <i val="0"/>
        <color theme="1"/>
      </font>
      <fill>
        <patternFill>
          <bgColor rgb="FF00FF00"/>
        </patternFill>
      </fill>
    </dxf>
    <dxf>
      <font>
        <b val="0"/>
        <i val="0"/>
        <color theme="0"/>
      </font>
      <fill>
        <patternFill>
          <bgColor rgb="FFFF0000"/>
        </patternFill>
      </fill>
    </dxf>
    <dxf>
      <font>
        <b val="0"/>
        <i val="0"/>
        <color theme="1"/>
      </font>
      <fill>
        <patternFill>
          <bgColor rgb="FF00FF00"/>
        </patternFill>
      </fill>
    </dxf>
    <dxf>
      <font>
        <b val="0"/>
        <i val="0"/>
        <color theme="1"/>
      </font>
      <fill>
        <patternFill>
          <bgColor rgb="FFFFCC00"/>
        </patternFill>
      </fill>
    </dxf>
    <dxf>
      <font>
        <b val="0"/>
        <i val="0"/>
        <color theme="1"/>
      </font>
      <fill>
        <patternFill>
          <bgColor rgb="FF00FF00"/>
        </patternFill>
      </fill>
    </dxf>
    <dxf>
      <font>
        <b val="0"/>
        <i val="0"/>
        <color theme="0"/>
      </font>
      <fill>
        <patternFill>
          <bgColor rgb="FFFF0000"/>
        </patternFill>
      </fill>
    </dxf>
    <dxf>
      <fill>
        <patternFill>
          <bgColor rgb="FFFF0000"/>
        </patternFill>
      </fill>
      <border>
        <left style="thin">
          <color rgb="FFFF0000"/>
        </left>
        <right style="thin">
          <color rgb="FFFF0000"/>
        </right>
        <top style="thin">
          <color rgb="FFFF0000"/>
        </top>
        <bottom style="thin">
          <color rgb="FFFF0000"/>
        </bottom>
        <vertical/>
        <horizontal/>
      </border>
    </dxf>
    <dxf>
      <font>
        <color rgb="FFFF0000"/>
      </font>
    </dxf>
    <dxf>
      <fill>
        <patternFill>
          <bgColor rgb="FFFF0000"/>
        </patternFill>
      </fill>
      <border>
        <left style="thin">
          <color rgb="FFFF0000"/>
        </left>
        <right style="thin">
          <color rgb="FFFF0000"/>
        </right>
        <top style="thin">
          <color rgb="FFFF0000"/>
        </top>
        <bottom style="thin">
          <color rgb="FFFF0000"/>
        </bottom>
        <vertical/>
        <horizontal/>
      </border>
    </dxf>
    <dxf>
      <font>
        <b val="0"/>
        <i val="0"/>
        <color theme="1" tint="0.499984740745262"/>
      </font>
    </dxf>
    <dxf>
      <font>
        <color theme="1" tint="0.499984740745262"/>
      </font>
    </dxf>
    <dxf>
      <font>
        <color theme="1" tint="0.499984740745262"/>
      </font>
      <fill>
        <patternFill patternType="none">
          <bgColor auto="1"/>
        </patternFill>
      </fill>
    </dxf>
    <dxf>
      <fill>
        <patternFill>
          <bgColor rgb="FFC00000"/>
        </patternFill>
      </fill>
    </dxf>
    <dxf>
      <font>
        <b val="0"/>
        <i val="0"/>
        <color rgb="FFFF0000"/>
      </font>
    </dxf>
    <dxf>
      <font>
        <color rgb="FF9C0006"/>
      </font>
      <fill>
        <patternFill>
          <bgColor rgb="FFFFC7CE"/>
        </patternFill>
      </fill>
    </dxf>
  </dxfs>
  <tableStyles count="0" defaultTableStyle="TableStyleMedium2" defaultPivotStyle="PivotStyleLight16"/>
  <colors>
    <mruColors>
      <color rgb="FF00BCE4"/>
      <color rgb="FF00DAE4"/>
      <color rgb="FFCCFFFF"/>
      <color rgb="FF00FFFF"/>
      <color rgb="FFCC99FF"/>
      <color rgb="FF9999FF"/>
      <color rgb="FF66FFCC"/>
      <color rgb="FF99CCFF"/>
      <color rgb="FFCCCC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39732</xdr:colOff>
      <xdr:row>1</xdr:row>
      <xdr:rowOff>152657</xdr:rowOff>
    </xdr:from>
    <xdr:to>
      <xdr:col>4</xdr:col>
      <xdr:colOff>2002140</xdr:colOff>
      <xdr:row>1</xdr:row>
      <xdr:rowOff>740728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707" y="276482"/>
          <a:ext cx="2509143" cy="576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439273</xdr:colOff>
      <xdr:row>1</xdr:row>
      <xdr:rowOff>89647</xdr:rowOff>
    </xdr:from>
    <xdr:to>
      <xdr:col>1</xdr:col>
      <xdr:colOff>2992231</xdr:colOff>
      <xdr:row>1</xdr:row>
      <xdr:rowOff>666288</xdr:rowOff>
    </xdr:to>
    <xdr:pic>
      <xdr:nvPicPr>
        <xdr:cNvPr id="3" name="Picture 2">
          <a:extLst>
            <a:ext uri="{FF2B5EF4-FFF2-40B4-BE49-F238E27FC236}">
              <a16:creationId xmlns:a16="http://schemas.microsoft.com/office/drawing/2014/main" id="{F3298482-7A91-47AA-9019-8E53DAA8A2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5461" y="268941"/>
          <a:ext cx="2537718" cy="5766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8523</xdr:colOff>
      <xdr:row>0</xdr:row>
      <xdr:rowOff>38100</xdr:rowOff>
    </xdr:from>
    <xdr:to>
      <xdr:col>3</xdr:col>
      <xdr:colOff>178068</xdr:colOff>
      <xdr:row>2</xdr:row>
      <xdr:rowOff>135172</xdr:rowOff>
    </xdr:to>
    <xdr:pic>
      <xdr:nvPicPr>
        <xdr:cNvPr id="2" name="Picture 1" descr="cid:image001.png@01D1D938.158F3DC0">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23" y="38100"/>
          <a:ext cx="502920" cy="50664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180975</xdr:colOff>
      <xdr:row>0</xdr:row>
      <xdr:rowOff>0</xdr:rowOff>
    </xdr:from>
    <xdr:to>
      <xdr:col>4</xdr:col>
      <xdr:colOff>352425</xdr:colOff>
      <xdr:row>3</xdr:row>
      <xdr:rowOff>19050</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628650" y="0"/>
          <a:ext cx="3600450" cy="619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600" b="1">
              <a:solidFill>
                <a:sysClr val="windowText" lastClr="000000"/>
              </a:solidFill>
              <a:latin typeface="Gill Sans MT" panose="020B0502020104020203" pitchFamily="34" charset="0"/>
            </a:rPr>
            <a:t>Customized</a:t>
          </a:r>
          <a:r>
            <a:rPr lang="en-US" sz="1600" b="1" baseline="0">
              <a:solidFill>
                <a:sysClr val="windowText" lastClr="000000"/>
              </a:solidFill>
              <a:latin typeface="Gill Sans MT" panose="020B0502020104020203" pitchFamily="34" charset="0"/>
            </a:rPr>
            <a:t> Lighting</a:t>
          </a:r>
        </a:p>
        <a:p>
          <a:pPr algn="l"/>
          <a:r>
            <a:rPr lang="en-US" sz="1600" b="1" baseline="0">
              <a:solidFill>
                <a:sysClr val="windowText" lastClr="000000"/>
              </a:solidFill>
              <a:latin typeface="Gill Sans MT" panose="020B0502020104020203" pitchFamily="34" charset="0"/>
            </a:rPr>
            <a:t>Incentive Worksheet</a:t>
          </a:r>
          <a:endParaRPr lang="en-US" sz="1400" b="1" baseline="0">
            <a:solidFill>
              <a:sysClr val="windowText" lastClr="000000"/>
            </a:solidFill>
            <a:latin typeface="Gill Sans MT" panose="020B05020201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76201</xdr:colOff>
      <xdr:row>0</xdr:row>
      <xdr:rowOff>123825</xdr:rowOff>
    </xdr:from>
    <xdr:to>
      <xdr:col>8</xdr:col>
      <xdr:colOff>754381</xdr:colOff>
      <xdr:row>0</xdr:row>
      <xdr:rowOff>535305</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762001" y="123825"/>
          <a:ext cx="5440680" cy="411480"/>
        </a:xfrm>
        <a:prstGeom prst="rect">
          <a:avLst/>
        </a:prstGeom>
        <a:solidFill>
          <a:srgbClr val="FFFFFF"/>
        </a:solidFill>
        <a:ln w="3175">
          <a:noFill/>
          <a:miter lim="800000"/>
          <a:headEnd/>
          <a:tailEnd/>
        </a:ln>
      </xdr:spPr>
      <xdr:txBody>
        <a:bodyPr vertOverflow="clip" wrap="square" lIns="45720" tIns="41148" rIns="0" bIns="0" anchor="t" upright="1"/>
        <a:lstStyle/>
        <a:p>
          <a:pPr algn="l" rtl="0">
            <a:defRPr sz="1000"/>
          </a:pPr>
          <a:r>
            <a:rPr lang="en-US" sz="2400" b="1" i="0" u="none" strike="noStrike" baseline="0">
              <a:solidFill>
                <a:srgbClr val="000000"/>
              </a:solidFill>
              <a:latin typeface="Gill Sans MT" panose="020B0502020104020203" pitchFamily="34" charset="0"/>
            </a:rPr>
            <a:t>Financial Review</a:t>
          </a:r>
        </a:p>
      </xdr:txBody>
    </xdr:sp>
    <xdr:clientData/>
  </xdr:twoCellAnchor>
  <xdr:twoCellAnchor editAs="absolute">
    <xdr:from>
      <xdr:col>1</xdr:col>
      <xdr:colOff>9525</xdr:colOff>
      <xdr:row>0</xdr:row>
      <xdr:rowOff>85725</xdr:rowOff>
    </xdr:from>
    <xdr:to>
      <xdr:col>2</xdr:col>
      <xdr:colOff>7620</xdr:colOff>
      <xdr:row>1</xdr:row>
      <xdr:rowOff>49447</xdr:rowOff>
    </xdr:to>
    <xdr:pic>
      <xdr:nvPicPr>
        <xdr:cNvPr id="3" name="Picture 2" descr="cid:image001.png@01D1D938.158F3DC0">
          <a:extLst>
            <a:ext uri="{FF2B5EF4-FFF2-40B4-BE49-F238E27FC236}">
              <a16:creationId xmlns:a16="http://schemas.microsoft.com/office/drawing/2014/main" id="{00000000-0008-0000-03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502920" cy="50664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voidedCost" displayName="avoidedCost" ref="A2:N27" totalsRowShown="0" headerRowDxfId="17" headerRowBorderDxfId="16" tableBorderDxfId="15" totalsRowBorderDxfId="14">
  <autoFilter ref="A2:N27" xr:uid="{00000000-0009-0000-0100-000001000000}"/>
  <tableColumns count="14">
    <tableColumn id="1" xr3:uid="{00000000-0010-0000-0000-000001000000}" name="Year" dataDxfId="13"/>
    <tableColumn id="2" xr3:uid="{00000000-0010-0000-0000-000002000000}" name="Measure Year" dataDxfId="12"/>
    <tableColumn id="3" xr3:uid="{00000000-0010-0000-0000-000003000000}" name="Honolulu_$/kW-yr" dataDxfId="11"/>
    <tableColumn id="4" xr3:uid="{00000000-0010-0000-0000-000004000000}" name="Maui_$/kW-yr" dataDxfId="10"/>
    <tableColumn id="5" xr3:uid="{00000000-0010-0000-0000-000005000000}" name="Hawaii_$/kW-yr" dataDxfId="9"/>
    <tableColumn id="6" xr3:uid="{00000000-0010-0000-0000-000006000000}" name="Honolulu_$/kWh-yr" dataDxfId="8"/>
    <tableColumn id="7" xr3:uid="{00000000-0010-0000-0000-000007000000}" name="Maui_$/kWh-yr" dataDxfId="7"/>
    <tableColumn id="8" xr3:uid="{00000000-0010-0000-0000-000008000000}" name="Hawaii_$/kWh-yr" dataDxfId="6"/>
    <tableColumn id="9" xr3:uid="{00000000-0010-0000-0000-000009000000}" name="Honolulu_$/kW" dataDxfId="5"/>
    <tableColumn id="10" xr3:uid="{00000000-0010-0000-0000-00000A000000}" name="Maui_$/kW" dataDxfId="4"/>
    <tableColumn id="11" xr3:uid="{00000000-0010-0000-0000-00000B000000}" name="Hawaii_$/kW" dataDxfId="3"/>
    <tableColumn id="12" xr3:uid="{00000000-0010-0000-0000-00000C000000}" name="Honolulu_$/kWh" dataDxfId="2"/>
    <tableColumn id="13" xr3:uid="{00000000-0010-0000-0000-00000D000000}" name="Maui_$/kWh" dataDxfId="1"/>
    <tableColumn id="14" xr3:uid="{00000000-0010-0000-0000-00000E000000}" name="Hawaii_$/kWh"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esignlights.org/search" TargetMode="External"/><Relationship Id="rId7" Type="http://schemas.openxmlformats.org/officeDocument/2006/relationships/drawing" Target="../drawings/drawing1.xml"/><Relationship Id="rId2" Type="http://schemas.openxmlformats.org/officeDocument/2006/relationships/hyperlink" Target="http://www.energystar.gov/productfinder/product/certified-light-bulbs/results" TargetMode="External"/><Relationship Id="rId1" Type="http://schemas.openxmlformats.org/officeDocument/2006/relationships/hyperlink" Target="http://www.hawaiienergy.com/" TargetMode="External"/><Relationship Id="rId6" Type="http://schemas.openxmlformats.org/officeDocument/2006/relationships/printerSettings" Target="../printerSettings/printerSettings1.bin"/><Relationship Id="rId5" Type="http://schemas.openxmlformats.org/officeDocument/2006/relationships/hyperlink" Target="https://hawaiienergy.com/for-business/power-move" TargetMode="External"/><Relationship Id="rId4" Type="http://schemas.openxmlformats.org/officeDocument/2006/relationships/hyperlink" Target="http://www.energystar.gov/productfinder/product/certified-light-fixtures/result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R85"/>
  <sheetViews>
    <sheetView showGridLines="0" tabSelected="1" zoomScaleNormal="100" workbookViewId="0"/>
  </sheetViews>
  <sheetFormatPr defaultColWidth="2.7109375" defaultRowHeight="15" x14ac:dyDescent="0.25"/>
  <cols>
    <col min="1" max="1" width="2.7109375" style="105" customWidth="1"/>
    <col min="2" max="2" width="2.7109375" style="105"/>
    <col min="3" max="4" width="2.7109375" style="105" customWidth="1"/>
    <col min="5" max="5" width="30.7109375" style="105" customWidth="1"/>
    <col min="6" max="6" width="2.7109375" style="105" customWidth="1"/>
    <col min="7" max="7" width="88.7109375" style="105" customWidth="1"/>
    <col min="8" max="10" width="10.7109375" style="105" customWidth="1"/>
    <col min="11" max="11" width="16.28515625" style="105" bestFit="1" customWidth="1"/>
    <col min="12" max="647" width="10.7109375" style="105" customWidth="1"/>
    <col min="648" max="16384" width="2.7109375" style="105"/>
  </cols>
  <sheetData>
    <row r="1" spans="2:44" ht="15" customHeight="1" thickBot="1" x14ac:dyDescent="0.3"/>
    <row r="2" spans="2:44" s="170" customFormat="1" ht="70.150000000000006" customHeight="1" thickBot="1" x14ac:dyDescent="0.3">
      <c r="B2" s="222"/>
      <c r="C2" s="223"/>
      <c r="D2" s="223"/>
      <c r="E2" s="224"/>
      <c r="F2" s="220" t="s">
        <v>383</v>
      </c>
      <c r="G2" s="221"/>
    </row>
    <row r="3" spans="2:44" ht="15" customHeight="1" x14ac:dyDescent="0.25">
      <c r="B3" s="106"/>
      <c r="G3" s="107"/>
    </row>
    <row r="4" spans="2:44" ht="17.25" x14ac:dyDescent="0.25">
      <c r="B4" s="227" t="s">
        <v>140</v>
      </c>
      <c r="C4" s="227"/>
      <c r="D4" s="227"/>
      <c r="E4" s="227"/>
      <c r="F4" s="227"/>
      <c r="G4" s="227"/>
    </row>
    <row r="5" spans="2:44" ht="45" customHeight="1" x14ac:dyDescent="0.25">
      <c r="B5" s="108" t="s">
        <v>141</v>
      </c>
      <c r="C5" s="231" t="s">
        <v>258</v>
      </c>
      <c r="D5" s="231"/>
      <c r="E5" s="231"/>
      <c r="F5" s="231"/>
      <c r="G5" s="231"/>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9"/>
      <c r="AO5" s="109"/>
      <c r="AP5" s="109"/>
    </row>
    <row r="6" spans="2:44" ht="30" customHeight="1" x14ac:dyDescent="0.25">
      <c r="B6" s="110" t="s">
        <v>148</v>
      </c>
      <c r="C6" s="228" t="s">
        <v>257</v>
      </c>
      <c r="D6" s="228"/>
      <c r="E6" s="228"/>
      <c r="F6" s="228"/>
      <c r="G6" s="22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row>
    <row r="7" spans="2:44" x14ac:dyDescent="0.25">
      <c r="B7" s="111" t="s">
        <v>142</v>
      </c>
      <c r="C7" s="230" t="s">
        <v>247</v>
      </c>
      <c r="D7" s="230"/>
      <c r="E7" s="230"/>
      <c r="F7" s="230"/>
      <c r="G7" s="230"/>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row>
    <row r="8" spans="2:44" ht="15" customHeight="1" x14ac:dyDescent="0.25">
      <c r="B8" s="111" t="s">
        <v>151</v>
      </c>
      <c r="C8" s="109" t="s">
        <v>332</v>
      </c>
      <c r="D8" s="127"/>
      <c r="E8" s="127"/>
      <c r="F8" s="127"/>
      <c r="G8" s="127"/>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row>
    <row r="9" spans="2:44" ht="15" customHeight="1" x14ac:dyDescent="0.25">
      <c r="B9" s="108" t="s">
        <v>152</v>
      </c>
      <c r="C9" s="109" t="s">
        <v>215</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row>
    <row r="10" spans="2:44" ht="15" customHeight="1" x14ac:dyDescent="0.25">
      <c r="B10" s="111" t="s">
        <v>153</v>
      </c>
      <c r="C10" s="108" t="s">
        <v>216</v>
      </c>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9"/>
      <c r="AO10" s="109"/>
      <c r="AP10" s="109"/>
    </row>
    <row r="11" spans="2:44" ht="15" customHeight="1" x14ac:dyDescent="0.25">
      <c r="B11" s="111" t="s">
        <v>218</v>
      </c>
      <c r="C11" s="108" t="s">
        <v>219</v>
      </c>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9"/>
      <c r="AO11" s="109"/>
      <c r="AP11" s="109"/>
    </row>
    <row r="12" spans="2:44" ht="15" customHeight="1" x14ac:dyDescent="0.25">
      <c r="B12" s="111"/>
      <c r="C12" s="108" t="s">
        <v>367</v>
      </c>
      <c r="D12" s="108" t="s">
        <v>220</v>
      </c>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9"/>
      <c r="AO12" s="109"/>
      <c r="AP12" s="109"/>
    </row>
    <row r="13" spans="2:44" ht="15" customHeight="1" x14ac:dyDescent="0.25">
      <c r="B13" s="111"/>
      <c r="D13" s="112" t="s">
        <v>138</v>
      </c>
      <c r="E13" s="108" t="s">
        <v>200</v>
      </c>
      <c r="G13" s="108" t="s">
        <v>201</v>
      </c>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9"/>
      <c r="AO13" s="109"/>
      <c r="AP13" s="109"/>
    </row>
    <row r="14" spans="2:44" ht="15" customHeight="1" x14ac:dyDescent="0.25">
      <c r="B14" s="111"/>
      <c r="C14" s="109" t="s">
        <v>368</v>
      </c>
      <c r="D14" s="108" t="s">
        <v>221</v>
      </c>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9"/>
      <c r="AO14" s="109"/>
      <c r="AP14" s="109"/>
    </row>
    <row r="15" spans="2:44" ht="15" customHeight="1" x14ac:dyDescent="0.25">
      <c r="B15" s="111"/>
      <c r="C15" s="108"/>
      <c r="D15" s="112" t="s">
        <v>138</v>
      </c>
      <c r="E15" s="108" t="s">
        <v>202</v>
      </c>
      <c r="G15" s="108" t="s">
        <v>203</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9"/>
      <c r="AO15" s="109"/>
      <c r="AP15" s="109"/>
    </row>
    <row r="16" spans="2:44" ht="15" customHeight="1" x14ac:dyDescent="0.25">
      <c r="B16" s="111"/>
      <c r="D16" s="108"/>
      <c r="E16" s="108"/>
      <c r="G16" s="108" t="s">
        <v>204</v>
      </c>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9"/>
      <c r="AO16" s="109"/>
      <c r="AP16" s="109"/>
    </row>
    <row r="17" spans="2:42" ht="15" customHeight="1" x14ac:dyDescent="0.25">
      <c r="B17" s="111"/>
      <c r="D17" s="108"/>
      <c r="E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9"/>
      <c r="AO17" s="109"/>
      <c r="AP17" s="109"/>
    </row>
    <row r="18" spans="2:42" ht="19.899999999999999" customHeight="1" x14ac:dyDescent="0.35">
      <c r="B18" s="232" t="s">
        <v>372</v>
      </c>
      <c r="C18" s="232"/>
      <c r="D18" s="232"/>
      <c r="E18" s="232"/>
      <c r="F18" s="232"/>
      <c r="G18" s="232"/>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9"/>
      <c r="AO18" s="109"/>
      <c r="AP18" s="109"/>
    </row>
    <row r="19" spans="2:42" ht="15" customHeight="1" x14ac:dyDescent="0.25">
      <c r="B19" s="216" t="s">
        <v>141</v>
      </c>
      <c r="C19" s="233" t="s">
        <v>373</v>
      </c>
      <c r="D19" s="234"/>
      <c r="E19" s="234"/>
      <c r="F19" s="234"/>
      <c r="G19" s="234"/>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9"/>
      <c r="AO19" s="109"/>
      <c r="AP19" s="109"/>
    </row>
    <row r="20" spans="2:42" ht="15" customHeight="1" x14ac:dyDescent="0.25">
      <c r="B20" s="217" t="s">
        <v>148</v>
      </c>
      <c r="C20" s="217" t="s">
        <v>374</v>
      </c>
      <c r="D20" s="217"/>
      <c r="E20" s="217"/>
      <c r="F20" s="217"/>
      <c r="G20" s="217"/>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9"/>
      <c r="AO20" s="109"/>
      <c r="AP20" s="109"/>
    </row>
    <row r="21" spans="2:42" ht="15" customHeight="1" x14ac:dyDescent="0.25">
      <c r="B21" s="217" t="s">
        <v>142</v>
      </c>
      <c r="C21" s="217" t="s">
        <v>375</v>
      </c>
      <c r="D21" s="217"/>
      <c r="E21" s="217"/>
      <c r="F21" s="217"/>
      <c r="G21" s="217"/>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9"/>
      <c r="AO21" s="109"/>
      <c r="AP21" s="109"/>
    </row>
    <row r="22" spans="2:42" ht="15" customHeight="1" x14ac:dyDescent="0.25">
      <c r="B22" s="217" t="s">
        <v>151</v>
      </c>
      <c r="C22" s="217" t="s">
        <v>376</v>
      </c>
      <c r="D22" s="217"/>
      <c r="E22" s="217"/>
      <c r="F22" s="217"/>
      <c r="G22" s="217"/>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9"/>
      <c r="AO22" s="109"/>
      <c r="AP22" s="109"/>
    </row>
    <row r="23" spans="2:42" ht="15" customHeight="1" x14ac:dyDescent="0.25">
      <c r="B23" s="217" t="s">
        <v>152</v>
      </c>
      <c r="C23" s="217" t="s">
        <v>216</v>
      </c>
      <c r="D23" s="217"/>
      <c r="E23" s="217"/>
      <c r="F23" s="217"/>
      <c r="G23" s="217"/>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9"/>
      <c r="AO23" s="109"/>
      <c r="AP23" s="109"/>
    </row>
    <row r="24" spans="2:42" ht="15" customHeight="1" x14ac:dyDescent="0.25">
      <c r="B24" s="217" t="s">
        <v>153</v>
      </c>
      <c r="C24" s="217" t="s">
        <v>377</v>
      </c>
      <c r="D24" s="217"/>
      <c r="E24" s="217"/>
      <c r="F24" s="217"/>
      <c r="G24" s="217"/>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9"/>
      <c r="AO24" s="109"/>
      <c r="AP24" s="109"/>
    </row>
    <row r="25" spans="2:42" ht="15" customHeight="1" x14ac:dyDescent="0.25">
      <c r="B25" s="217"/>
      <c r="C25" s="217" t="s">
        <v>378</v>
      </c>
      <c r="D25" s="217" t="s">
        <v>220</v>
      </c>
      <c r="E25" s="217"/>
      <c r="F25" s="217"/>
      <c r="G25" s="217"/>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9"/>
      <c r="AO25" s="109"/>
      <c r="AP25" s="109"/>
    </row>
    <row r="26" spans="2:42" ht="15" customHeight="1" x14ac:dyDescent="0.25">
      <c r="B26" s="217"/>
      <c r="C26" s="217"/>
      <c r="D26" s="218" t="s">
        <v>138</v>
      </c>
      <c r="E26" s="217" t="s">
        <v>379</v>
      </c>
      <c r="F26" s="219"/>
      <c r="G26" s="217" t="s">
        <v>380</v>
      </c>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9"/>
      <c r="AO26" s="109"/>
      <c r="AP26" s="109"/>
    </row>
    <row r="27" spans="2:42" ht="15" customHeight="1" x14ac:dyDescent="0.25">
      <c r="B27" s="217"/>
      <c r="C27" s="217" t="s">
        <v>381</v>
      </c>
      <c r="D27" s="217" t="s">
        <v>221</v>
      </c>
      <c r="E27" s="217"/>
      <c r="F27" s="217"/>
      <c r="G27" s="217"/>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9"/>
      <c r="AO27" s="109"/>
      <c r="AP27" s="109"/>
    </row>
    <row r="28" spans="2:42" ht="15" customHeight="1" x14ac:dyDescent="0.25">
      <c r="B28" s="217"/>
      <c r="C28" s="217"/>
      <c r="D28" s="218" t="s">
        <v>138</v>
      </c>
      <c r="E28" s="217" t="s">
        <v>202</v>
      </c>
      <c r="F28" s="219"/>
      <c r="G28" s="217" t="s">
        <v>203</v>
      </c>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9"/>
      <c r="AO28" s="109"/>
      <c r="AP28" s="109"/>
    </row>
    <row r="29" spans="2:42" ht="15" customHeight="1" x14ac:dyDescent="0.25">
      <c r="B29" s="217"/>
      <c r="C29" s="217"/>
      <c r="D29" s="217"/>
      <c r="E29" s="217"/>
      <c r="F29" s="219"/>
      <c r="G29" s="217" t="s">
        <v>204</v>
      </c>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9"/>
      <c r="AO29" s="109"/>
      <c r="AP29" s="109"/>
    </row>
    <row r="30" spans="2:42" ht="15" customHeight="1" x14ac:dyDescent="0.25">
      <c r="B30" s="217"/>
      <c r="C30" s="235" t="s">
        <v>382</v>
      </c>
      <c r="D30" s="235"/>
      <c r="E30" s="235"/>
      <c r="F30" s="235"/>
      <c r="G30" s="235"/>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9"/>
      <c r="AO30" s="109"/>
      <c r="AP30" s="109"/>
    </row>
    <row r="31" spans="2:42" ht="15" customHeight="1" x14ac:dyDescent="0.25">
      <c r="B31" s="217"/>
      <c r="C31" s="217"/>
      <c r="D31" s="217"/>
      <c r="E31" s="217"/>
      <c r="F31" s="217"/>
      <c r="G31" s="217"/>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9"/>
      <c r="AO31" s="109"/>
      <c r="AP31" s="109"/>
    </row>
    <row r="32" spans="2:42" ht="17.25" x14ac:dyDescent="0.25">
      <c r="B32" s="227" t="s">
        <v>143</v>
      </c>
      <c r="C32" s="227"/>
      <c r="D32" s="227"/>
      <c r="E32" s="227"/>
      <c r="F32" s="227"/>
      <c r="G32" s="227"/>
    </row>
    <row r="33" spans="2:44" s="109" customFormat="1" ht="15" customHeight="1" x14ac:dyDescent="0.25">
      <c r="B33" s="109" t="s">
        <v>144</v>
      </c>
      <c r="C33" s="108" t="s">
        <v>253</v>
      </c>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row>
    <row r="34" spans="2:44" s="109" customFormat="1" ht="15" customHeight="1" x14ac:dyDescent="0.25">
      <c r="B34" s="108"/>
      <c r="C34" s="108"/>
      <c r="D34" s="108" t="s">
        <v>141</v>
      </c>
      <c r="E34" s="108" t="s">
        <v>145</v>
      </c>
      <c r="F34" s="108"/>
      <c r="G34" s="132" t="s">
        <v>154</v>
      </c>
      <c r="H34" s="108"/>
      <c r="J34" s="108"/>
      <c r="K34" s="108"/>
      <c r="L34" s="108"/>
      <c r="M34" s="108"/>
      <c r="N34" s="108"/>
      <c r="O34" s="108"/>
      <c r="P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row>
    <row r="35" spans="2:44" s="109" customFormat="1" ht="15" customHeight="1" x14ac:dyDescent="0.25">
      <c r="B35" s="108"/>
      <c r="C35" s="108"/>
      <c r="D35" s="108" t="s">
        <v>148</v>
      </c>
      <c r="E35" s="108" t="s">
        <v>147</v>
      </c>
      <c r="F35" s="108"/>
      <c r="G35" s="132" t="s">
        <v>232</v>
      </c>
      <c r="H35" s="108"/>
      <c r="J35" s="108"/>
      <c r="K35" s="108"/>
      <c r="L35" s="108"/>
      <c r="M35" s="108"/>
      <c r="N35" s="108"/>
      <c r="O35" s="108"/>
      <c r="P35" s="108"/>
      <c r="S35" s="108"/>
      <c r="T35" s="108"/>
      <c r="U35" s="108"/>
      <c r="V35" s="108"/>
      <c r="W35" s="108"/>
      <c r="X35" s="108"/>
      <c r="Y35" s="108"/>
      <c r="Z35" s="108"/>
      <c r="AA35" s="108"/>
      <c r="AB35" s="108"/>
      <c r="AC35" s="108"/>
      <c r="AD35" s="108"/>
      <c r="AE35" s="108"/>
      <c r="AF35" s="108"/>
      <c r="AG35" s="108"/>
      <c r="AH35" s="108"/>
      <c r="AI35" s="108"/>
      <c r="AJ35" s="108"/>
      <c r="AK35" s="108"/>
      <c r="AL35" s="108"/>
      <c r="AM35" s="108"/>
    </row>
    <row r="36" spans="2:44" s="109" customFormat="1" ht="15" customHeight="1" x14ac:dyDescent="0.25">
      <c r="B36" s="108"/>
      <c r="C36" s="108"/>
      <c r="F36" s="108"/>
      <c r="G36" s="132" t="s">
        <v>233</v>
      </c>
      <c r="H36" s="108"/>
      <c r="J36" s="108"/>
      <c r="K36" s="108"/>
      <c r="L36" s="108"/>
      <c r="M36" s="108"/>
      <c r="N36" s="108"/>
      <c r="O36" s="108"/>
      <c r="P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row>
    <row r="37" spans="2:44" s="109" customFormat="1" ht="30" customHeight="1" x14ac:dyDescent="0.25">
      <c r="B37" s="108" t="s">
        <v>146</v>
      </c>
      <c r="C37" s="228" t="s">
        <v>254</v>
      </c>
      <c r="D37" s="228"/>
      <c r="E37" s="228"/>
      <c r="F37" s="228"/>
      <c r="G37" s="22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row>
    <row r="38" spans="2:44" s="109" customFormat="1" ht="15" customHeight="1" x14ac:dyDescent="0.25">
      <c r="B38" s="108"/>
      <c r="C38" s="110" t="s">
        <v>150</v>
      </c>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08"/>
    </row>
    <row r="39" spans="2:44" s="109" customFormat="1" ht="15" customHeight="1" x14ac:dyDescent="0.25">
      <c r="B39" s="108"/>
      <c r="C39" s="110"/>
      <c r="D39" s="113" t="s">
        <v>141</v>
      </c>
      <c r="E39" s="108" t="s">
        <v>248</v>
      </c>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08"/>
    </row>
    <row r="40" spans="2:44" s="109" customFormat="1" ht="15" customHeight="1" x14ac:dyDescent="0.25">
      <c r="B40" s="108"/>
      <c r="C40" s="110"/>
      <c r="D40" s="113" t="s">
        <v>148</v>
      </c>
      <c r="E40" s="108" t="s">
        <v>231</v>
      </c>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08"/>
    </row>
    <row r="41" spans="2:44" s="115" customFormat="1" ht="30" customHeight="1" x14ac:dyDescent="0.25">
      <c r="B41" s="110"/>
      <c r="C41" s="110"/>
      <c r="D41" s="114" t="s">
        <v>142</v>
      </c>
      <c r="E41" s="229" t="s">
        <v>252</v>
      </c>
      <c r="F41" s="229"/>
      <c r="G41" s="229"/>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row>
    <row r="42" spans="2:44" s="115" customFormat="1" ht="30" customHeight="1" x14ac:dyDescent="0.25">
      <c r="B42" s="110"/>
      <c r="C42" s="110"/>
      <c r="D42" s="114" t="s">
        <v>151</v>
      </c>
      <c r="E42" s="229" t="s">
        <v>255</v>
      </c>
      <c r="F42" s="229"/>
      <c r="G42" s="229"/>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row>
    <row r="43" spans="2:44" s="109" customFormat="1" ht="15" customHeight="1" x14ac:dyDescent="0.25">
      <c r="B43" s="108"/>
      <c r="C43" s="108"/>
      <c r="D43" s="109" t="s">
        <v>152</v>
      </c>
      <c r="E43" s="111" t="s">
        <v>217</v>
      </c>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row>
    <row r="44" spans="2:44" s="109" customFormat="1" ht="15" customHeight="1" x14ac:dyDescent="0.25">
      <c r="B44" s="108"/>
      <c r="C44" s="108"/>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row>
    <row r="45" spans="2:44" s="109" customFormat="1" ht="15" customHeight="1" x14ac:dyDescent="0.25">
      <c r="B45" s="108" t="s">
        <v>249</v>
      </c>
      <c r="C45" s="108" t="s">
        <v>251</v>
      </c>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row>
    <row r="46" spans="2:44" s="109" customFormat="1" ht="55.15" customHeight="1" x14ac:dyDescent="0.25">
      <c r="B46" s="108"/>
      <c r="C46" s="228" t="s">
        <v>250</v>
      </c>
      <c r="D46" s="228"/>
      <c r="E46" s="228"/>
      <c r="F46" s="228"/>
      <c r="G46" s="22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row>
    <row r="47" spans="2:44" s="109" customFormat="1" ht="12.75" x14ac:dyDescent="0.25">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row>
    <row r="48" spans="2:44" ht="17.25" x14ac:dyDescent="0.25">
      <c r="B48" s="227" t="s">
        <v>222</v>
      </c>
      <c r="C48" s="227"/>
      <c r="D48" s="227"/>
      <c r="E48" s="227"/>
      <c r="F48" s="227"/>
      <c r="G48" s="227"/>
    </row>
    <row r="49" spans="2:7" s="109" customFormat="1" ht="15" customHeight="1" x14ac:dyDescent="0.25">
      <c r="B49" s="109" t="s">
        <v>141</v>
      </c>
      <c r="C49" s="109" t="s">
        <v>157</v>
      </c>
    </row>
    <row r="50" spans="2:7" s="109" customFormat="1" ht="15" customHeight="1" x14ac:dyDescent="0.25">
      <c r="D50" s="116" t="s">
        <v>170</v>
      </c>
    </row>
    <row r="51" spans="2:7" s="109" customFormat="1" ht="15" customHeight="1" x14ac:dyDescent="0.25">
      <c r="D51" s="117" t="s">
        <v>138</v>
      </c>
      <c r="E51" s="109" t="s">
        <v>176</v>
      </c>
    </row>
    <row r="52" spans="2:7" s="109" customFormat="1" ht="15" customHeight="1" x14ac:dyDescent="0.25">
      <c r="D52" s="117" t="s">
        <v>138</v>
      </c>
      <c r="E52" s="109" t="s">
        <v>230</v>
      </c>
    </row>
    <row r="53" spans="2:7" s="109" customFormat="1" ht="15" customHeight="1" x14ac:dyDescent="0.25">
      <c r="D53" s="117" t="s">
        <v>138</v>
      </c>
      <c r="E53" s="109" t="s">
        <v>177</v>
      </c>
    </row>
    <row r="54" spans="2:7" s="109" customFormat="1" ht="30" customHeight="1" x14ac:dyDescent="0.25">
      <c r="D54" s="117" t="s">
        <v>138</v>
      </c>
      <c r="E54" s="230" t="s">
        <v>178</v>
      </c>
      <c r="F54" s="230"/>
      <c r="G54" s="230"/>
    </row>
    <row r="55" spans="2:7" s="109" customFormat="1" ht="15" customHeight="1" x14ac:dyDescent="0.25">
      <c r="D55" s="116" t="s">
        <v>171</v>
      </c>
    </row>
    <row r="56" spans="2:7" s="115" customFormat="1" ht="30" customHeight="1" x14ac:dyDescent="0.25">
      <c r="C56" s="118"/>
      <c r="D56" s="117" t="s">
        <v>138</v>
      </c>
      <c r="E56" s="230" t="s">
        <v>172</v>
      </c>
      <c r="F56" s="230"/>
      <c r="G56" s="230"/>
    </row>
    <row r="57" spans="2:7" s="109" customFormat="1" ht="15" customHeight="1" x14ac:dyDescent="0.25">
      <c r="D57" s="117" t="s">
        <v>138</v>
      </c>
      <c r="E57" s="109" t="s">
        <v>179</v>
      </c>
    </row>
    <row r="58" spans="2:7" s="109" customFormat="1" ht="15" customHeight="1" x14ac:dyDescent="0.25">
      <c r="D58" s="117" t="s">
        <v>138</v>
      </c>
      <c r="E58" s="109" t="s">
        <v>180</v>
      </c>
    </row>
    <row r="59" spans="2:7" s="109" customFormat="1" ht="15" customHeight="1" x14ac:dyDescent="0.25">
      <c r="D59" s="117" t="s">
        <v>138</v>
      </c>
      <c r="E59" s="109" t="s">
        <v>181</v>
      </c>
    </row>
    <row r="60" spans="2:7" s="109" customFormat="1" ht="30" customHeight="1" x14ac:dyDescent="0.25">
      <c r="D60" s="117" t="s">
        <v>138</v>
      </c>
      <c r="E60" s="230" t="s">
        <v>182</v>
      </c>
      <c r="F60" s="230"/>
      <c r="G60" s="230"/>
    </row>
    <row r="61" spans="2:7" s="109" customFormat="1" ht="15" customHeight="1" x14ac:dyDescent="0.25">
      <c r="D61" s="116" t="s">
        <v>191</v>
      </c>
    </row>
    <row r="62" spans="2:7" s="109" customFormat="1" ht="30" customHeight="1" x14ac:dyDescent="0.25">
      <c r="C62" s="116"/>
      <c r="D62" s="117" t="s">
        <v>138</v>
      </c>
      <c r="E62" s="230" t="s">
        <v>192</v>
      </c>
      <c r="F62" s="230"/>
      <c r="G62" s="230"/>
    </row>
    <row r="63" spans="2:7" s="109" customFormat="1" ht="15" customHeight="1" x14ac:dyDescent="0.25">
      <c r="D63" s="116" t="s">
        <v>189</v>
      </c>
    </row>
    <row r="64" spans="2:7" s="109" customFormat="1" ht="15" customHeight="1" x14ac:dyDescent="0.25">
      <c r="C64" s="116"/>
      <c r="D64" s="117" t="s">
        <v>138</v>
      </c>
      <c r="E64" s="109" t="s">
        <v>173</v>
      </c>
    </row>
    <row r="65" spans="2:44" s="109" customFormat="1" ht="15" customHeight="1" x14ac:dyDescent="0.25">
      <c r="C65" s="116"/>
      <c r="D65" s="117"/>
      <c r="E65" s="109" t="s">
        <v>198</v>
      </c>
    </row>
    <row r="66" spans="2:44" s="109" customFormat="1" ht="15" customHeight="1" x14ac:dyDescent="0.25">
      <c r="C66" s="116"/>
      <c r="D66" s="117"/>
      <c r="E66" s="109" t="s">
        <v>199</v>
      </c>
    </row>
    <row r="67" spans="2:44" s="109" customFormat="1" ht="30" customHeight="1" x14ac:dyDescent="0.25">
      <c r="B67" s="109" t="s">
        <v>148</v>
      </c>
      <c r="C67" s="230" t="s">
        <v>237</v>
      </c>
      <c r="D67" s="230"/>
      <c r="E67" s="230"/>
      <c r="F67" s="230"/>
      <c r="G67" s="230"/>
    </row>
    <row r="68" spans="2:44" s="109" customFormat="1" ht="30" customHeight="1" x14ac:dyDescent="0.25">
      <c r="B68" s="115" t="s">
        <v>142</v>
      </c>
      <c r="C68" s="230" t="s">
        <v>236</v>
      </c>
      <c r="D68" s="230"/>
      <c r="E68" s="230"/>
      <c r="F68" s="230"/>
      <c r="G68" s="230"/>
    </row>
    <row r="69" spans="2:44" s="109" customFormat="1" ht="12.75" x14ac:dyDescent="0.25">
      <c r="B69" s="116"/>
      <c r="C69" s="117"/>
    </row>
    <row r="70" spans="2:44" s="109" customFormat="1" ht="12.75" x14ac:dyDescent="0.25">
      <c r="B70" s="226" t="s">
        <v>149</v>
      </c>
      <c r="C70" s="226"/>
      <c r="D70" s="226"/>
      <c r="E70" s="226"/>
      <c r="F70" s="226"/>
      <c r="G70" s="22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row>
    <row r="71" spans="2:44" s="109" customFormat="1" ht="12.75" x14ac:dyDescent="0.25">
      <c r="B71" s="225" t="s">
        <v>175</v>
      </c>
      <c r="C71" s="225"/>
      <c r="D71" s="225"/>
      <c r="E71" s="225"/>
      <c r="F71" s="225"/>
      <c r="G71" s="225"/>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row>
    <row r="73" spans="2:44" ht="17.25" x14ac:dyDescent="0.25">
      <c r="B73" s="227" t="s">
        <v>243</v>
      </c>
      <c r="C73" s="227"/>
      <c r="D73" s="227"/>
      <c r="E73" s="227"/>
      <c r="F73" s="227"/>
      <c r="G73" s="227"/>
    </row>
    <row r="74" spans="2:44" ht="30" customHeight="1" x14ac:dyDescent="0.25">
      <c r="B74" s="109" t="s">
        <v>141</v>
      </c>
      <c r="C74" s="230" t="s">
        <v>256</v>
      </c>
      <c r="D74" s="230"/>
      <c r="E74" s="230"/>
      <c r="F74" s="230"/>
      <c r="G74" s="230"/>
      <c r="H74"/>
      <c r="I74"/>
      <c r="J74"/>
      <c r="K74"/>
      <c r="L74"/>
      <c r="M74"/>
      <c r="N74"/>
      <c r="O74"/>
      <c r="P74"/>
      <c r="Q74"/>
      <c r="R74"/>
      <c r="S74"/>
      <c r="T74"/>
      <c r="U74"/>
      <c r="V74"/>
      <c r="W74"/>
      <c r="X74"/>
      <c r="Y74"/>
    </row>
    <row r="75" spans="2:44" ht="45" customHeight="1" x14ac:dyDescent="0.25">
      <c r="B75" s="109" t="s">
        <v>148</v>
      </c>
      <c r="C75" s="230" t="s">
        <v>244</v>
      </c>
      <c r="D75" s="230"/>
      <c r="E75" s="230"/>
      <c r="F75" s="230"/>
      <c r="G75" s="230"/>
      <c r="H75"/>
      <c r="I75"/>
      <c r="J75"/>
      <c r="K75"/>
      <c r="L75"/>
      <c r="M75"/>
      <c r="N75"/>
      <c r="O75"/>
      <c r="P75"/>
      <c r="Q75"/>
      <c r="R75"/>
      <c r="S75"/>
      <c r="T75"/>
      <c r="U75"/>
      <c r="V75"/>
      <c r="W75"/>
      <c r="X75"/>
      <c r="Y75"/>
    </row>
    <row r="76" spans="2:44" ht="30" customHeight="1" x14ac:dyDescent="0.25">
      <c r="B76" s="109" t="s">
        <v>142</v>
      </c>
      <c r="C76" s="230" t="s">
        <v>245</v>
      </c>
      <c r="D76" s="230"/>
      <c r="E76" s="230"/>
      <c r="F76" s="230"/>
      <c r="G76" s="230"/>
      <c r="H76"/>
      <c r="I76"/>
      <c r="J76"/>
      <c r="K76"/>
      <c r="L76"/>
      <c r="M76"/>
      <c r="N76"/>
      <c r="O76"/>
      <c r="P76"/>
      <c r="Q76"/>
      <c r="R76"/>
      <c r="S76"/>
      <c r="T76"/>
      <c r="U76"/>
      <c r="V76"/>
      <c r="W76"/>
      <c r="X76"/>
      <c r="Y76"/>
    </row>
    <row r="77" spans="2:44" ht="30" customHeight="1" x14ac:dyDescent="0.25">
      <c r="B77" s="109" t="s">
        <v>151</v>
      </c>
      <c r="C77" s="230" t="s">
        <v>246</v>
      </c>
      <c r="D77" s="230"/>
      <c r="E77" s="230"/>
      <c r="F77" s="230"/>
      <c r="G77" s="230"/>
      <c r="H77"/>
      <c r="I77"/>
      <c r="J77"/>
      <c r="K77"/>
      <c r="L77"/>
      <c r="M77"/>
      <c r="N77"/>
      <c r="O77"/>
      <c r="P77"/>
      <c r="Q77"/>
      <c r="R77"/>
      <c r="S77"/>
      <c r="T77"/>
      <c r="U77"/>
      <c r="V77"/>
      <c r="W77"/>
      <c r="X77"/>
      <c r="Y77"/>
    </row>
    <row r="78" spans="2:44" x14ac:dyDescent="0.25">
      <c r="B78" s="109"/>
      <c r="C78" s="230"/>
      <c r="D78" s="230"/>
      <c r="E78" s="230"/>
      <c r="F78" s="230"/>
      <c r="G78" s="230"/>
      <c r="H78"/>
      <c r="I78"/>
      <c r="J78"/>
      <c r="K78"/>
      <c r="L78"/>
      <c r="M78"/>
      <c r="N78"/>
      <c r="O78"/>
      <c r="P78"/>
      <c r="Q78"/>
      <c r="R78"/>
      <c r="S78"/>
      <c r="T78"/>
      <c r="U78"/>
      <c r="V78"/>
      <c r="W78"/>
      <c r="X78"/>
      <c r="Y78"/>
    </row>
    <row r="79" spans="2:44" ht="19.5" customHeight="1" x14ac:dyDescent="0.25"/>
    <row r="82" spans="4:5" x14ac:dyDescent="0.25">
      <c r="D82" s="129"/>
      <c r="E82"/>
    </row>
    <row r="83" spans="4:5" x14ac:dyDescent="0.25">
      <c r="D83" s="129"/>
      <c r="E83"/>
    </row>
    <row r="84" spans="4:5" x14ac:dyDescent="0.25">
      <c r="D84" s="129"/>
      <c r="E84"/>
    </row>
    <row r="85" spans="4:5" x14ac:dyDescent="0.25">
      <c r="D85" s="129"/>
      <c r="E85"/>
    </row>
  </sheetData>
  <sheetProtection algorithmName="SHA-512" hashValue="ap5rioT9sGF6U7z18EvM9f5t8UEHZ8Xuc/my5g1upyB3LfoNGE2xCKJTCj9hRpFV1ly47uEzoEU1XeSlcpTQEg==" saltValue="IrWyZ5gqgQabqx21W7hx1g==" spinCount="100000" sheet="1" objects="1" scenarios="1" selectLockedCells="1"/>
  <mergeCells count="29">
    <mergeCell ref="B4:G4"/>
    <mergeCell ref="C6:G6"/>
    <mergeCell ref="C7:G7"/>
    <mergeCell ref="C5:G5"/>
    <mergeCell ref="C78:G78"/>
    <mergeCell ref="B73:G73"/>
    <mergeCell ref="C74:G74"/>
    <mergeCell ref="C76:G76"/>
    <mergeCell ref="C75:G75"/>
    <mergeCell ref="C77:G77"/>
    <mergeCell ref="B18:G18"/>
    <mergeCell ref="C19:G19"/>
    <mergeCell ref="C30:G30"/>
    <mergeCell ref="F2:G2"/>
    <mergeCell ref="B2:E2"/>
    <mergeCell ref="B71:G71"/>
    <mergeCell ref="B70:G70"/>
    <mergeCell ref="B32:G32"/>
    <mergeCell ref="C37:G37"/>
    <mergeCell ref="E41:G41"/>
    <mergeCell ref="E42:G42"/>
    <mergeCell ref="B48:G48"/>
    <mergeCell ref="C68:G68"/>
    <mergeCell ref="E54:G54"/>
    <mergeCell ref="E56:G56"/>
    <mergeCell ref="E60:G60"/>
    <mergeCell ref="E62:G62"/>
    <mergeCell ref="C67:G67"/>
    <mergeCell ref="C46:G46"/>
  </mergeCells>
  <hyperlinks>
    <hyperlink ref="B71" r:id="rId1" xr:uid="{00000000-0004-0000-0000-000000000000}"/>
    <hyperlink ref="G35" r:id="rId2" xr:uid="{00000000-0004-0000-0000-000001000000}"/>
    <hyperlink ref="G34" r:id="rId3" xr:uid="{00000000-0004-0000-0000-000002000000}"/>
    <hyperlink ref="G36" r:id="rId4" xr:uid="{00000000-0004-0000-0000-000003000000}"/>
    <hyperlink ref="C30" r:id="rId5" xr:uid="{6A08F8EF-7E6E-4D92-9C98-EAAF44838376}"/>
  </hyperlinks>
  <pageMargins left="0.7" right="0.7" top="0.75" bottom="0.75" header="0.3" footer="0.3"/>
  <pageSetup scale="67" fitToHeight="0" orientation="portrait" r:id="rId6"/>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108"/>
  <sheetViews>
    <sheetView showGridLines="0" zoomScale="85" zoomScaleNormal="85" workbookViewId="0">
      <selection activeCell="C5" sqref="C5:D5"/>
    </sheetView>
  </sheetViews>
  <sheetFormatPr defaultColWidth="12.7109375" defaultRowHeight="12.75" x14ac:dyDescent="0.2"/>
  <cols>
    <col min="1" max="1" width="3" style="3" bestFit="1" customWidth="1"/>
    <col min="2" max="2" width="49.7109375" style="3" customWidth="1"/>
    <col min="3" max="4" width="16.7109375" style="3" customWidth="1"/>
    <col min="5" max="5" width="2.7109375" style="3" customWidth="1"/>
    <col min="6" max="6" width="24.7109375" style="3" customWidth="1"/>
    <col min="7" max="7" width="16.7109375" style="3" customWidth="1"/>
    <col min="8" max="8" width="2.7109375" style="3" customWidth="1"/>
    <col min="9" max="9" width="10.7109375" style="3" customWidth="1"/>
    <col min="10" max="10" width="2.7109375" style="3" customWidth="1"/>
    <col min="11" max="15" width="10.7109375" style="3" customWidth="1"/>
    <col min="16" max="16" width="10.7109375" style="4" customWidth="1"/>
    <col min="17" max="20" width="10.7109375" style="3" customWidth="1"/>
    <col min="21" max="23" width="12.7109375" style="3"/>
    <col min="24" max="27" width="12.7109375" style="3" customWidth="1"/>
    <col min="28" max="28" width="16.5703125" style="3" customWidth="1"/>
    <col min="29" max="51" width="12.7109375" style="3" hidden="1" customWidth="1"/>
    <col min="52" max="16384" width="12.7109375" style="3"/>
  </cols>
  <sheetData>
    <row r="1" spans="2:26" ht="13.5" thickBot="1" x14ac:dyDescent="0.25"/>
    <row r="2" spans="2:26" ht="60" customHeight="1" thickBot="1" x14ac:dyDescent="0.25">
      <c r="B2" s="179"/>
      <c r="C2" s="250" t="s">
        <v>365</v>
      </c>
      <c r="D2" s="251"/>
      <c r="E2" s="251"/>
      <c r="F2" s="251"/>
      <c r="G2" s="251"/>
      <c r="H2" s="251"/>
      <c r="I2" s="251"/>
      <c r="J2" s="251"/>
      <c r="K2" s="251"/>
      <c r="L2" s="251"/>
      <c r="M2" s="251"/>
      <c r="N2" s="251"/>
      <c r="O2" s="251"/>
      <c r="P2" s="251"/>
      <c r="Q2" s="251"/>
      <c r="R2" s="251"/>
      <c r="S2" s="251"/>
      <c r="T2" s="251"/>
      <c r="U2" s="251"/>
      <c r="V2" s="251"/>
      <c r="W2" s="251"/>
      <c r="X2" s="251"/>
      <c r="Y2" s="251"/>
      <c r="Z2" s="252"/>
    </row>
    <row r="4" spans="2:26" ht="17.25" x14ac:dyDescent="0.35">
      <c r="B4" s="15" t="s">
        <v>170</v>
      </c>
    </row>
    <row r="5" spans="2:26" x14ac:dyDescent="0.2">
      <c r="B5" s="2" t="s">
        <v>95</v>
      </c>
      <c r="C5" s="247"/>
      <c r="D5" s="249"/>
      <c r="F5" s="288" t="s">
        <v>97</v>
      </c>
      <c r="G5" s="288"/>
      <c r="H5" s="284">
        <f>IF(C14 = "Power Move Demand Savings Bonus", 400, 125)</f>
        <v>125</v>
      </c>
      <c r="I5" s="285"/>
      <c r="K5" s="260" t="s">
        <v>132</v>
      </c>
      <c r="L5" s="260"/>
      <c r="M5" s="260"/>
      <c r="N5" s="267" t="str">
        <f>IF(ISNUMBER(MATCH("Error: Check Inputs", $AB$54:$AB$83, 0)), "Check Inputs", IF(D10="Air-Conditioned", SUMPRODUCT($AM$54:$AM$83,$AX$54:$AX$83), IF(D10="Non Air-Conditioned", SUM($AM$54:$AM$83), "Enter A/C Info")))</f>
        <v>Enter A/C Info</v>
      </c>
      <c r="O5" s="267"/>
      <c r="Q5" s="260" t="s">
        <v>356</v>
      </c>
      <c r="R5" s="260"/>
      <c r="S5" s="260"/>
      <c r="T5" s="261" t="str">
        <f>IFERROR(IF(N7 / FirstYearEnergySavings &gt; 25, 25, N7 / FirstYearEnergySavings), "")</f>
        <v/>
      </c>
      <c r="U5" s="261"/>
    </row>
    <row r="6" spans="2:26" x14ac:dyDescent="0.2">
      <c r="B6" s="2" t="s">
        <v>96</v>
      </c>
      <c r="C6" s="236"/>
      <c r="D6" s="237"/>
      <c r="F6" s="289" t="s">
        <v>131</v>
      </c>
      <c r="G6" s="290"/>
      <c r="H6" s="286">
        <f>IF(MeasureLife&gt;5,0.12,0.08)</f>
        <v>0.12</v>
      </c>
      <c r="I6" s="287"/>
      <c r="K6" s="260" t="s">
        <v>133</v>
      </c>
      <c r="L6" s="260"/>
      <c r="M6" s="260"/>
      <c r="N6" s="268" t="str">
        <f>IF(ISNUMBER(MATCH("Error: Check Inputs", $AB$54:$AB$83, 0)), "Check Inputs", IF(D10="Air-Conditioned", SUMPRODUCT($AQ$54:$AQ$83,$AY$54:$AY$83), IF(D10="Non Air-Conditioned", SUM($AQ$54:$AQ$83), "Enter A/C Info")))</f>
        <v>Enter A/C Info</v>
      </c>
      <c r="O6" s="268"/>
      <c r="Q6" s="260" t="s">
        <v>357</v>
      </c>
      <c r="R6" s="260"/>
      <c r="S6" s="260"/>
      <c r="T6" s="264" t="str">
        <f>IF(Island = "Oahu", "Honolulu", IF(Island = "Hawaii", "Hawaii", IF(OR(Island = "Maui", Island = "Molokai", Island = "Lanai"), "Maui", "")))</f>
        <v/>
      </c>
      <c r="U6" s="264"/>
    </row>
    <row r="7" spans="2:26" x14ac:dyDescent="0.2">
      <c r="B7" s="2" t="s">
        <v>363</v>
      </c>
      <c r="C7" s="236"/>
      <c r="D7" s="237"/>
      <c r="F7" s="288" t="s">
        <v>126</v>
      </c>
      <c r="G7" s="288"/>
      <c r="H7" s="291" t="str">
        <f>IFERROR(VLOOKUP($C$8&amp;"-"&amp;$C$9&amp;"-kW",Lookup_EffectiveRate,5,FALSE),"Choose Rate")</f>
        <v>Choose Rate</v>
      </c>
      <c r="I7" s="285"/>
      <c r="K7" s="260" t="s">
        <v>352</v>
      </c>
      <c r="L7" s="260"/>
      <c r="M7" s="260"/>
      <c r="N7" s="269" t="str">
        <f>IF(ISNUMBER(MATCH("Error: Check Inputs", $AB$54:$AB$83, 0)), "Check Inputs", IF(D10="Air-Conditioned", SUMPRODUCT($AU$54:$AU$83,$AY$54:$AY$83), IF(D10="Non Air-Conditioned", SUM($AU$54:$AU$83), "Enter A/C Info")))</f>
        <v>Enter A/C Info</v>
      </c>
      <c r="O7" s="269"/>
    </row>
    <row r="8" spans="2:26" ht="14.65" customHeight="1" x14ac:dyDescent="0.2">
      <c r="B8" s="2" t="s">
        <v>90</v>
      </c>
      <c r="C8" s="247"/>
      <c r="D8" s="249"/>
      <c r="F8" s="288" t="s">
        <v>127</v>
      </c>
      <c r="G8" s="288"/>
      <c r="H8" s="286" t="str">
        <f>IFERROR(VLOOKUP($C$8&amp;"-"&amp;$C$9&amp;"-kWh",Lookup_EffectiveRate,5,FALSE),"Choose Island")</f>
        <v>Choose Island</v>
      </c>
      <c r="I8" s="287"/>
      <c r="K8" s="260" t="s">
        <v>353</v>
      </c>
      <c r="L8" s="260"/>
      <c r="M8" s="260"/>
      <c r="N8" s="262" t="str">
        <f ca="1">IF(ISNUMBER(MATCH("Error: Check Inputs", $AB$54:$AB$83, 0)), "Check Inputs", IFERROR(SUM(AV54:AW83), ""))</f>
        <v/>
      </c>
      <c r="O8" s="263"/>
    </row>
    <row r="9" spans="2:26" x14ac:dyDescent="0.2">
      <c r="B9" s="2" t="s">
        <v>169</v>
      </c>
      <c r="C9" s="236"/>
      <c r="D9" s="237"/>
      <c r="K9" s="276" t="str">
        <f>IF(H14=0,"Incentive amount cannot exceed 50% of total project costs",IF((N10+N11)&gt;(0.5*H14),"Calculated rebate amount limited to 50% of project cost",""))</f>
        <v>Incentive amount cannot exceed 50% of total project costs</v>
      </c>
      <c r="L9" s="276"/>
      <c r="M9" s="276"/>
      <c r="N9" s="276"/>
      <c r="O9" s="276"/>
    </row>
    <row r="10" spans="2:26" x14ac:dyDescent="0.2">
      <c r="B10" s="2" t="s">
        <v>241</v>
      </c>
      <c r="C10" s="215"/>
      <c r="D10" s="215"/>
      <c r="F10" s="265" t="s">
        <v>128</v>
      </c>
      <c r="G10" s="266"/>
      <c r="H10" s="278"/>
      <c r="I10" s="279"/>
      <c r="K10" s="260" t="s">
        <v>94</v>
      </c>
      <c r="L10" s="260"/>
      <c r="M10" s="260"/>
      <c r="N10" s="270" t="str">
        <f>IFERROR(N5*H5, "-")</f>
        <v>-</v>
      </c>
      <c r="O10" s="271"/>
    </row>
    <row r="11" spans="2:26" x14ac:dyDescent="0.2">
      <c r="B11" s="2" t="s">
        <v>130</v>
      </c>
      <c r="C11" s="236"/>
      <c r="D11" s="237"/>
      <c r="F11" s="265" t="s">
        <v>129</v>
      </c>
      <c r="G11" s="266"/>
      <c r="H11" s="278"/>
      <c r="I11" s="279"/>
      <c r="K11" s="260" t="s">
        <v>134</v>
      </c>
      <c r="L11" s="260"/>
      <c r="M11" s="260"/>
      <c r="N11" s="270" t="str">
        <f>IFERROR(N6*H6, "-")</f>
        <v>-</v>
      </c>
      <c r="O11" s="271"/>
    </row>
    <row r="12" spans="2:26" x14ac:dyDescent="0.2">
      <c r="B12" s="2" t="s">
        <v>125</v>
      </c>
      <c r="C12" s="292"/>
      <c r="D12" s="293"/>
      <c r="F12" s="265" t="s">
        <v>93</v>
      </c>
      <c r="G12" s="266"/>
      <c r="H12" s="278"/>
      <c r="I12" s="279"/>
      <c r="K12" s="260" t="s">
        <v>135</v>
      </c>
      <c r="L12" s="260"/>
      <c r="M12" s="260"/>
      <c r="N12" s="270" t="str">
        <f>IFERROR(N10+N11, "-")</f>
        <v>-</v>
      </c>
      <c r="O12" s="271"/>
    </row>
    <row r="13" spans="2:26" x14ac:dyDescent="0.2">
      <c r="B13" s="2" t="s">
        <v>168</v>
      </c>
      <c r="C13" s="258"/>
      <c r="D13" s="259"/>
      <c r="F13" s="265" t="s">
        <v>92</v>
      </c>
      <c r="G13" s="266"/>
      <c r="H13" s="278"/>
      <c r="I13" s="279"/>
      <c r="K13" s="260" t="s">
        <v>269</v>
      </c>
      <c r="L13" s="260"/>
      <c r="M13" s="260"/>
      <c r="N13" s="272">
        <f>IF(N12&gt;(0.5*H14),(0.5*H14),N12)</f>
        <v>0</v>
      </c>
      <c r="O13" s="264"/>
      <c r="P13" s="3"/>
    </row>
    <row r="14" spans="2:26" x14ac:dyDescent="0.2">
      <c r="B14" s="2" t="s">
        <v>369</v>
      </c>
      <c r="C14" s="258" t="s">
        <v>370</v>
      </c>
      <c r="D14" s="259"/>
      <c r="F14" s="265" t="s">
        <v>91</v>
      </c>
      <c r="G14" s="266"/>
      <c r="H14" s="280"/>
      <c r="I14" s="281"/>
    </row>
    <row r="15" spans="2:26" ht="15" x14ac:dyDescent="0.25">
      <c r="F15"/>
      <c r="G15"/>
      <c r="H15"/>
      <c r="I15"/>
    </row>
    <row r="16" spans="2:26" ht="15" x14ac:dyDescent="0.25">
      <c r="F16"/>
      <c r="G16"/>
      <c r="H16"/>
      <c r="I16"/>
    </row>
    <row r="18" spans="1:25" ht="17.25" x14ac:dyDescent="0.35">
      <c r="B18" s="15" t="s">
        <v>155</v>
      </c>
      <c r="D18" s="177" t="s">
        <v>105</v>
      </c>
      <c r="E18" s="5"/>
      <c r="P18" s="176"/>
      <c r="Q18" s="171"/>
      <c r="R18" s="171"/>
    </row>
    <row r="19" spans="1:25" s="8" customFormat="1" ht="76.5" customHeight="1" x14ac:dyDescent="0.25">
      <c r="B19" s="172" t="s">
        <v>0</v>
      </c>
      <c r="C19" s="273" t="s">
        <v>123</v>
      </c>
      <c r="D19" s="273"/>
      <c r="E19" s="253" t="s">
        <v>268</v>
      </c>
      <c r="F19" s="255"/>
      <c r="G19" s="253" t="s">
        <v>98</v>
      </c>
      <c r="H19" s="255"/>
      <c r="I19" s="253" t="s">
        <v>270</v>
      </c>
      <c r="J19" s="254"/>
      <c r="K19" s="254"/>
      <c r="L19" s="255"/>
      <c r="N19" s="7" t="s">
        <v>174</v>
      </c>
      <c r="O19" s="172" t="s">
        <v>85</v>
      </c>
      <c r="P19" s="172" t="s">
        <v>1</v>
      </c>
      <c r="Q19" s="172" t="s">
        <v>124</v>
      </c>
      <c r="R19" s="172" t="s">
        <v>5</v>
      </c>
      <c r="S19" s="172" t="s">
        <v>2</v>
      </c>
      <c r="T19" s="172" t="s">
        <v>3</v>
      </c>
      <c r="U19" s="172" t="s">
        <v>272</v>
      </c>
      <c r="V19" s="172" t="s">
        <v>6</v>
      </c>
      <c r="W19" s="172" t="s">
        <v>242</v>
      </c>
      <c r="X19" s="172" t="s">
        <v>4</v>
      </c>
      <c r="Y19" s="172" t="s">
        <v>7</v>
      </c>
    </row>
    <row r="20" spans="1:25" x14ac:dyDescent="0.2">
      <c r="A20" s="16">
        <v>1</v>
      </c>
      <c r="B20" s="173"/>
      <c r="C20" s="277"/>
      <c r="D20" s="277"/>
      <c r="E20" s="247"/>
      <c r="F20" s="249"/>
      <c r="G20" s="277"/>
      <c r="H20" s="277"/>
      <c r="I20" s="247"/>
      <c r="J20" s="248"/>
      <c r="K20" s="248"/>
      <c r="L20" s="249"/>
      <c r="N20" s="13"/>
      <c r="O20" s="13"/>
      <c r="P20" s="14"/>
      <c r="Q20" s="14"/>
      <c r="R20" s="14"/>
      <c r="S20" s="14"/>
      <c r="T20" s="14"/>
      <c r="U20" s="9">
        <f t="shared" ref="U20:U49" si="0">P20*O20</f>
        <v>0</v>
      </c>
      <c r="V20" s="159">
        <f t="shared" ref="V20:V49" si="1">N20*U20/1000</f>
        <v>0</v>
      </c>
      <c r="W20" s="159">
        <f t="shared" ref="W20:W49" si="2">IF((R20&lt;=4),V20*(R20/4),"Error")</f>
        <v>0</v>
      </c>
      <c r="X20" s="9">
        <f t="shared" ref="X20:X49" si="3">((Q20*5)+S20+T20)/7*365</f>
        <v>0</v>
      </c>
      <c r="Y20" s="158">
        <f t="shared" ref="Y20:Y49" si="4">IF(X20&lt;=8760,V20*X20,"Error")</f>
        <v>0</v>
      </c>
    </row>
    <row r="21" spans="1:25" x14ac:dyDescent="0.2">
      <c r="A21" s="16">
        <v>2</v>
      </c>
      <c r="B21" s="173"/>
      <c r="C21" s="277"/>
      <c r="D21" s="277"/>
      <c r="E21" s="247"/>
      <c r="F21" s="249"/>
      <c r="G21" s="277"/>
      <c r="H21" s="277"/>
      <c r="I21" s="247"/>
      <c r="J21" s="248"/>
      <c r="K21" s="248"/>
      <c r="L21" s="249"/>
      <c r="N21" s="13"/>
      <c r="O21" s="13"/>
      <c r="P21" s="14"/>
      <c r="Q21" s="14"/>
      <c r="R21" s="14"/>
      <c r="S21" s="14"/>
      <c r="T21" s="14"/>
      <c r="U21" s="9">
        <f t="shared" si="0"/>
        <v>0</v>
      </c>
      <c r="V21" s="159">
        <f t="shared" si="1"/>
        <v>0</v>
      </c>
      <c r="W21" s="159">
        <f t="shared" si="2"/>
        <v>0</v>
      </c>
      <c r="X21" s="9">
        <f t="shared" si="3"/>
        <v>0</v>
      </c>
      <c r="Y21" s="158">
        <f t="shared" si="4"/>
        <v>0</v>
      </c>
    </row>
    <row r="22" spans="1:25" x14ac:dyDescent="0.2">
      <c r="A22" s="16">
        <v>3</v>
      </c>
      <c r="B22" s="173"/>
      <c r="C22" s="277"/>
      <c r="D22" s="277"/>
      <c r="E22" s="247"/>
      <c r="F22" s="249"/>
      <c r="G22" s="277"/>
      <c r="H22" s="277"/>
      <c r="I22" s="247"/>
      <c r="J22" s="248"/>
      <c r="K22" s="248"/>
      <c r="L22" s="249"/>
      <c r="N22" s="13"/>
      <c r="O22" s="13"/>
      <c r="P22" s="14"/>
      <c r="Q22" s="14"/>
      <c r="R22" s="14"/>
      <c r="S22" s="14"/>
      <c r="T22" s="14"/>
      <c r="U22" s="9">
        <f t="shared" si="0"/>
        <v>0</v>
      </c>
      <c r="V22" s="159">
        <f t="shared" si="1"/>
        <v>0</v>
      </c>
      <c r="W22" s="159">
        <f t="shared" si="2"/>
        <v>0</v>
      </c>
      <c r="X22" s="9">
        <f t="shared" si="3"/>
        <v>0</v>
      </c>
      <c r="Y22" s="158">
        <f t="shared" si="4"/>
        <v>0</v>
      </c>
    </row>
    <row r="23" spans="1:25" x14ac:dyDescent="0.2">
      <c r="A23" s="16">
        <v>4</v>
      </c>
      <c r="B23" s="173"/>
      <c r="C23" s="277"/>
      <c r="D23" s="277"/>
      <c r="E23" s="247"/>
      <c r="F23" s="249"/>
      <c r="G23" s="277"/>
      <c r="H23" s="277"/>
      <c r="I23" s="247"/>
      <c r="J23" s="248"/>
      <c r="K23" s="248"/>
      <c r="L23" s="249"/>
      <c r="N23" s="13"/>
      <c r="O23" s="13"/>
      <c r="P23" s="14"/>
      <c r="Q23" s="14"/>
      <c r="R23" s="14"/>
      <c r="S23" s="14"/>
      <c r="T23" s="14"/>
      <c r="U23" s="9">
        <f>P23*O23</f>
        <v>0</v>
      </c>
      <c r="V23" s="159">
        <f>N23*U23/1000</f>
        <v>0</v>
      </c>
      <c r="W23" s="159">
        <f t="shared" si="2"/>
        <v>0</v>
      </c>
      <c r="X23" s="9">
        <f t="shared" si="3"/>
        <v>0</v>
      </c>
      <c r="Y23" s="158">
        <f t="shared" si="4"/>
        <v>0</v>
      </c>
    </row>
    <row r="24" spans="1:25" x14ac:dyDescent="0.2">
      <c r="A24" s="16">
        <v>5</v>
      </c>
      <c r="B24" s="173"/>
      <c r="C24" s="247"/>
      <c r="D24" s="249"/>
      <c r="E24" s="247"/>
      <c r="F24" s="249"/>
      <c r="G24" s="277"/>
      <c r="H24" s="277"/>
      <c r="I24" s="247"/>
      <c r="J24" s="248"/>
      <c r="K24" s="248"/>
      <c r="L24" s="249"/>
      <c r="N24" s="13"/>
      <c r="O24" s="13"/>
      <c r="P24" s="14"/>
      <c r="Q24" s="14"/>
      <c r="R24" s="14"/>
      <c r="S24" s="14"/>
      <c r="T24" s="14"/>
      <c r="U24" s="9">
        <f t="shared" si="0"/>
        <v>0</v>
      </c>
      <c r="V24" s="159">
        <f t="shared" si="1"/>
        <v>0</v>
      </c>
      <c r="W24" s="159">
        <f t="shared" si="2"/>
        <v>0</v>
      </c>
      <c r="X24" s="9">
        <f t="shared" si="3"/>
        <v>0</v>
      </c>
      <c r="Y24" s="158">
        <f t="shared" si="4"/>
        <v>0</v>
      </c>
    </row>
    <row r="25" spans="1:25" x14ac:dyDescent="0.2">
      <c r="A25" s="16">
        <v>6</v>
      </c>
      <c r="B25" s="173"/>
      <c r="C25" s="247"/>
      <c r="D25" s="249"/>
      <c r="E25" s="247"/>
      <c r="F25" s="249"/>
      <c r="G25" s="277"/>
      <c r="H25" s="277"/>
      <c r="I25" s="247"/>
      <c r="J25" s="248"/>
      <c r="K25" s="248"/>
      <c r="L25" s="249"/>
      <c r="N25" s="13"/>
      <c r="O25" s="13"/>
      <c r="P25" s="14"/>
      <c r="Q25" s="14"/>
      <c r="R25" s="14"/>
      <c r="S25" s="14"/>
      <c r="T25" s="14"/>
      <c r="U25" s="9">
        <f t="shared" si="0"/>
        <v>0</v>
      </c>
      <c r="V25" s="159">
        <f t="shared" si="1"/>
        <v>0</v>
      </c>
      <c r="W25" s="159">
        <f t="shared" si="2"/>
        <v>0</v>
      </c>
      <c r="X25" s="9">
        <f t="shared" si="3"/>
        <v>0</v>
      </c>
      <c r="Y25" s="158">
        <f t="shared" si="4"/>
        <v>0</v>
      </c>
    </row>
    <row r="26" spans="1:25" x14ac:dyDescent="0.2">
      <c r="A26" s="16">
        <v>7</v>
      </c>
      <c r="B26" s="173"/>
      <c r="C26" s="247"/>
      <c r="D26" s="249"/>
      <c r="E26" s="247"/>
      <c r="F26" s="249"/>
      <c r="G26" s="277"/>
      <c r="H26" s="277"/>
      <c r="I26" s="247"/>
      <c r="J26" s="248"/>
      <c r="K26" s="248"/>
      <c r="L26" s="249"/>
      <c r="N26" s="13"/>
      <c r="O26" s="13"/>
      <c r="P26" s="14"/>
      <c r="Q26" s="14"/>
      <c r="R26" s="14"/>
      <c r="S26" s="14"/>
      <c r="T26" s="14"/>
      <c r="U26" s="9">
        <f t="shared" si="0"/>
        <v>0</v>
      </c>
      <c r="V26" s="159">
        <f t="shared" si="1"/>
        <v>0</v>
      </c>
      <c r="W26" s="159">
        <f t="shared" si="2"/>
        <v>0</v>
      </c>
      <c r="X26" s="9">
        <f t="shared" si="3"/>
        <v>0</v>
      </c>
      <c r="Y26" s="158">
        <f t="shared" si="4"/>
        <v>0</v>
      </c>
    </row>
    <row r="27" spans="1:25" x14ac:dyDescent="0.2">
      <c r="A27" s="16">
        <v>8</v>
      </c>
      <c r="B27" s="173"/>
      <c r="C27" s="277"/>
      <c r="D27" s="277"/>
      <c r="E27" s="247"/>
      <c r="F27" s="249"/>
      <c r="G27" s="277"/>
      <c r="H27" s="277"/>
      <c r="I27" s="247"/>
      <c r="J27" s="248"/>
      <c r="K27" s="248"/>
      <c r="L27" s="249"/>
      <c r="N27" s="13"/>
      <c r="O27" s="13"/>
      <c r="P27" s="14"/>
      <c r="Q27" s="14"/>
      <c r="R27" s="14"/>
      <c r="S27" s="14"/>
      <c r="T27" s="14"/>
      <c r="U27" s="9">
        <f t="shared" si="0"/>
        <v>0</v>
      </c>
      <c r="V27" s="159">
        <f t="shared" si="1"/>
        <v>0</v>
      </c>
      <c r="W27" s="159">
        <f t="shared" si="2"/>
        <v>0</v>
      </c>
      <c r="X27" s="9">
        <f t="shared" si="3"/>
        <v>0</v>
      </c>
      <c r="Y27" s="158">
        <f t="shared" si="4"/>
        <v>0</v>
      </c>
    </row>
    <row r="28" spans="1:25" x14ac:dyDescent="0.2">
      <c r="A28" s="16">
        <v>9</v>
      </c>
      <c r="B28" s="173"/>
      <c r="C28" s="247"/>
      <c r="D28" s="249"/>
      <c r="E28" s="247"/>
      <c r="F28" s="249"/>
      <c r="G28" s="277"/>
      <c r="H28" s="277"/>
      <c r="I28" s="247"/>
      <c r="J28" s="248"/>
      <c r="K28" s="248"/>
      <c r="L28" s="249"/>
      <c r="N28" s="13"/>
      <c r="O28" s="13"/>
      <c r="P28" s="14"/>
      <c r="Q28" s="14"/>
      <c r="R28" s="14"/>
      <c r="S28" s="14"/>
      <c r="T28" s="14"/>
      <c r="U28" s="9">
        <f t="shared" si="0"/>
        <v>0</v>
      </c>
      <c r="V28" s="159">
        <f t="shared" si="1"/>
        <v>0</v>
      </c>
      <c r="W28" s="159">
        <f t="shared" si="2"/>
        <v>0</v>
      </c>
      <c r="X28" s="9">
        <f t="shared" si="3"/>
        <v>0</v>
      </c>
      <c r="Y28" s="158">
        <f t="shared" si="4"/>
        <v>0</v>
      </c>
    </row>
    <row r="29" spans="1:25" x14ac:dyDescent="0.2">
      <c r="A29" s="16">
        <v>10</v>
      </c>
      <c r="B29" s="173"/>
      <c r="C29" s="247"/>
      <c r="D29" s="249"/>
      <c r="E29" s="247"/>
      <c r="F29" s="249"/>
      <c r="G29" s="277"/>
      <c r="H29" s="277"/>
      <c r="I29" s="247"/>
      <c r="J29" s="248"/>
      <c r="K29" s="248"/>
      <c r="L29" s="249"/>
      <c r="N29" s="13"/>
      <c r="O29" s="13"/>
      <c r="P29" s="14"/>
      <c r="Q29" s="14"/>
      <c r="R29" s="14"/>
      <c r="S29" s="14"/>
      <c r="T29" s="14"/>
      <c r="U29" s="9">
        <f t="shared" si="0"/>
        <v>0</v>
      </c>
      <c r="V29" s="159">
        <f t="shared" si="1"/>
        <v>0</v>
      </c>
      <c r="W29" s="159">
        <f t="shared" si="2"/>
        <v>0</v>
      </c>
      <c r="X29" s="9">
        <f t="shared" si="3"/>
        <v>0</v>
      </c>
      <c r="Y29" s="158">
        <f t="shared" si="4"/>
        <v>0</v>
      </c>
    </row>
    <row r="30" spans="1:25" x14ac:dyDescent="0.2">
      <c r="A30" s="16">
        <v>11</v>
      </c>
      <c r="B30" s="173"/>
      <c r="C30" s="247"/>
      <c r="D30" s="249"/>
      <c r="E30" s="247"/>
      <c r="F30" s="249"/>
      <c r="G30" s="277"/>
      <c r="H30" s="277"/>
      <c r="I30" s="247"/>
      <c r="J30" s="248"/>
      <c r="K30" s="248"/>
      <c r="L30" s="249"/>
      <c r="N30" s="13"/>
      <c r="O30" s="13"/>
      <c r="P30" s="14"/>
      <c r="Q30" s="14"/>
      <c r="R30" s="14"/>
      <c r="S30" s="14"/>
      <c r="T30" s="14"/>
      <c r="U30" s="9">
        <f t="shared" si="0"/>
        <v>0</v>
      </c>
      <c r="V30" s="159">
        <f t="shared" si="1"/>
        <v>0</v>
      </c>
      <c r="W30" s="159">
        <f t="shared" si="2"/>
        <v>0</v>
      </c>
      <c r="X30" s="9">
        <f t="shared" si="3"/>
        <v>0</v>
      </c>
      <c r="Y30" s="158">
        <f t="shared" si="4"/>
        <v>0</v>
      </c>
    </row>
    <row r="31" spans="1:25" x14ac:dyDescent="0.2">
      <c r="A31" s="16">
        <v>12</v>
      </c>
      <c r="B31" s="173"/>
      <c r="C31" s="247"/>
      <c r="D31" s="249"/>
      <c r="E31" s="247"/>
      <c r="F31" s="249"/>
      <c r="G31" s="277"/>
      <c r="H31" s="277"/>
      <c r="I31" s="247"/>
      <c r="J31" s="248"/>
      <c r="K31" s="248"/>
      <c r="L31" s="249"/>
      <c r="N31" s="13"/>
      <c r="O31" s="13"/>
      <c r="P31" s="14"/>
      <c r="Q31" s="14"/>
      <c r="R31" s="14"/>
      <c r="S31" s="14"/>
      <c r="T31" s="14"/>
      <c r="U31" s="9">
        <f t="shared" si="0"/>
        <v>0</v>
      </c>
      <c r="V31" s="159">
        <f t="shared" si="1"/>
        <v>0</v>
      </c>
      <c r="W31" s="159">
        <f t="shared" si="2"/>
        <v>0</v>
      </c>
      <c r="X31" s="9">
        <f t="shared" si="3"/>
        <v>0</v>
      </c>
      <c r="Y31" s="158">
        <f t="shared" si="4"/>
        <v>0</v>
      </c>
    </row>
    <row r="32" spans="1:25" x14ac:dyDescent="0.2">
      <c r="A32" s="16">
        <v>13</v>
      </c>
      <c r="B32" s="173"/>
      <c r="C32" s="277"/>
      <c r="D32" s="277"/>
      <c r="E32" s="247"/>
      <c r="F32" s="249"/>
      <c r="G32" s="277"/>
      <c r="H32" s="277"/>
      <c r="I32" s="247"/>
      <c r="J32" s="248"/>
      <c r="K32" s="248"/>
      <c r="L32" s="249"/>
      <c r="N32" s="13"/>
      <c r="O32" s="13"/>
      <c r="P32" s="14"/>
      <c r="Q32" s="14"/>
      <c r="R32" s="14"/>
      <c r="S32" s="14"/>
      <c r="T32" s="14"/>
      <c r="U32" s="9">
        <f t="shared" si="0"/>
        <v>0</v>
      </c>
      <c r="V32" s="159">
        <f t="shared" si="1"/>
        <v>0</v>
      </c>
      <c r="W32" s="159">
        <f t="shared" si="2"/>
        <v>0</v>
      </c>
      <c r="X32" s="9">
        <f t="shared" si="3"/>
        <v>0</v>
      </c>
      <c r="Y32" s="158">
        <f t="shared" si="4"/>
        <v>0</v>
      </c>
    </row>
    <row r="33" spans="1:25" x14ac:dyDescent="0.2">
      <c r="A33" s="16">
        <v>14</v>
      </c>
      <c r="B33" s="173"/>
      <c r="C33" s="277"/>
      <c r="D33" s="277"/>
      <c r="E33" s="247"/>
      <c r="F33" s="249"/>
      <c r="G33" s="277"/>
      <c r="H33" s="277"/>
      <c r="I33" s="247"/>
      <c r="J33" s="248"/>
      <c r="K33" s="248"/>
      <c r="L33" s="249"/>
      <c r="N33" s="13"/>
      <c r="O33" s="13"/>
      <c r="P33" s="14"/>
      <c r="Q33" s="14"/>
      <c r="R33" s="14"/>
      <c r="S33" s="14"/>
      <c r="T33" s="14"/>
      <c r="U33" s="9">
        <f t="shared" si="0"/>
        <v>0</v>
      </c>
      <c r="V33" s="159">
        <f t="shared" si="1"/>
        <v>0</v>
      </c>
      <c r="W33" s="159">
        <f t="shared" si="2"/>
        <v>0</v>
      </c>
      <c r="X33" s="9">
        <f t="shared" si="3"/>
        <v>0</v>
      </c>
      <c r="Y33" s="158">
        <f t="shared" si="4"/>
        <v>0</v>
      </c>
    </row>
    <row r="34" spans="1:25" x14ac:dyDescent="0.2">
      <c r="A34" s="16">
        <v>15</v>
      </c>
      <c r="B34" s="173"/>
      <c r="C34" s="277"/>
      <c r="D34" s="277"/>
      <c r="E34" s="247"/>
      <c r="F34" s="249"/>
      <c r="G34" s="277"/>
      <c r="H34" s="277"/>
      <c r="I34" s="247"/>
      <c r="J34" s="248"/>
      <c r="K34" s="248"/>
      <c r="L34" s="249"/>
      <c r="N34" s="13"/>
      <c r="O34" s="13"/>
      <c r="P34" s="14"/>
      <c r="Q34" s="14"/>
      <c r="R34" s="14"/>
      <c r="S34" s="14"/>
      <c r="T34" s="14"/>
      <c r="U34" s="9">
        <f t="shared" si="0"/>
        <v>0</v>
      </c>
      <c r="V34" s="159">
        <f t="shared" si="1"/>
        <v>0</v>
      </c>
      <c r="W34" s="159">
        <f t="shared" si="2"/>
        <v>0</v>
      </c>
      <c r="X34" s="9">
        <f t="shared" si="3"/>
        <v>0</v>
      </c>
      <c r="Y34" s="158">
        <f t="shared" si="4"/>
        <v>0</v>
      </c>
    </row>
    <row r="35" spans="1:25" x14ac:dyDescent="0.2">
      <c r="A35" s="16">
        <v>16</v>
      </c>
      <c r="B35" s="173"/>
      <c r="C35" s="277"/>
      <c r="D35" s="277"/>
      <c r="E35" s="247"/>
      <c r="F35" s="249"/>
      <c r="G35" s="277"/>
      <c r="H35" s="277"/>
      <c r="I35" s="247"/>
      <c r="J35" s="248"/>
      <c r="K35" s="248"/>
      <c r="L35" s="249"/>
      <c r="N35" s="13"/>
      <c r="O35" s="13"/>
      <c r="P35" s="14"/>
      <c r="Q35" s="14"/>
      <c r="R35" s="14"/>
      <c r="S35" s="14"/>
      <c r="T35" s="14"/>
      <c r="U35" s="9">
        <f t="shared" si="0"/>
        <v>0</v>
      </c>
      <c r="V35" s="159">
        <f t="shared" si="1"/>
        <v>0</v>
      </c>
      <c r="W35" s="159">
        <f t="shared" si="2"/>
        <v>0</v>
      </c>
      <c r="X35" s="9">
        <f t="shared" si="3"/>
        <v>0</v>
      </c>
      <c r="Y35" s="158">
        <f t="shared" si="4"/>
        <v>0</v>
      </c>
    </row>
    <row r="36" spans="1:25" x14ac:dyDescent="0.2">
      <c r="A36" s="16">
        <v>17</v>
      </c>
      <c r="B36" s="173"/>
      <c r="C36" s="277"/>
      <c r="D36" s="277"/>
      <c r="E36" s="247"/>
      <c r="F36" s="249"/>
      <c r="G36" s="277"/>
      <c r="H36" s="277"/>
      <c r="I36" s="247"/>
      <c r="J36" s="248"/>
      <c r="K36" s="248"/>
      <c r="L36" s="249"/>
      <c r="N36" s="13"/>
      <c r="O36" s="13"/>
      <c r="P36" s="14"/>
      <c r="Q36" s="14"/>
      <c r="R36" s="14"/>
      <c r="S36" s="14"/>
      <c r="T36" s="14"/>
      <c r="U36" s="9">
        <f t="shared" si="0"/>
        <v>0</v>
      </c>
      <c r="V36" s="159">
        <f t="shared" si="1"/>
        <v>0</v>
      </c>
      <c r="W36" s="159">
        <f t="shared" si="2"/>
        <v>0</v>
      </c>
      <c r="X36" s="9">
        <f t="shared" si="3"/>
        <v>0</v>
      </c>
      <c r="Y36" s="158">
        <f t="shared" si="4"/>
        <v>0</v>
      </c>
    </row>
    <row r="37" spans="1:25" x14ac:dyDescent="0.2">
      <c r="A37" s="16">
        <v>18</v>
      </c>
      <c r="B37" s="173"/>
      <c r="C37" s="277"/>
      <c r="D37" s="277"/>
      <c r="E37" s="247"/>
      <c r="F37" s="249"/>
      <c r="G37" s="277"/>
      <c r="H37" s="277"/>
      <c r="I37" s="247"/>
      <c r="J37" s="248"/>
      <c r="K37" s="248"/>
      <c r="L37" s="249"/>
      <c r="N37" s="13"/>
      <c r="O37" s="13"/>
      <c r="P37" s="14"/>
      <c r="Q37" s="14"/>
      <c r="R37" s="14"/>
      <c r="S37" s="14"/>
      <c r="T37" s="14"/>
      <c r="U37" s="9">
        <f t="shared" si="0"/>
        <v>0</v>
      </c>
      <c r="V37" s="159">
        <f t="shared" si="1"/>
        <v>0</v>
      </c>
      <c r="W37" s="159">
        <f t="shared" si="2"/>
        <v>0</v>
      </c>
      <c r="X37" s="9">
        <f t="shared" si="3"/>
        <v>0</v>
      </c>
      <c r="Y37" s="158">
        <f t="shared" si="4"/>
        <v>0</v>
      </c>
    </row>
    <row r="38" spans="1:25" x14ac:dyDescent="0.2">
      <c r="A38" s="16">
        <v>19</v>
      </c>
      <c r="B38" s="173"/>
      <c r="C38" s="277"/>
      <c r="D38" s="277"/>
      <c r="E38" s="247"/>
      <c r="F38" s="249"/>
      <c r="G38" s="277"/>
      <c r="H38" s="277"/>
      <c r="I38" s="247"/>
      <c r="J38" s="248"/>
      <c r="K38" s="248"/>
      <c r="L38" s="249"/>
      <c r="N38" s="13"/>
      <c r="O38" s="13"/>
      <c r="P38" s="14"/>
      <c r="Q38" s="14"/>
      <c r="R38" s="14"/>
      <c r="S38" s="14"/>
      <c r="T38" s="14"/>
      <c r="U38" s="9">
        <f t="shared" si="0"/>
        <v>0</v>
      </c>
      <c r="V38" s="159">
        <f t="shared" si="1"/>
        <v>0</v>
      </c>
      <c r="W38" s="159">
        <f t="shared" si="2"/>
        <v>0</v>
      </c>
      <c r="X38" s="9">
        <f t="shared" si="3"/>
        <v>0</v>
      </c>
      <c r="Y38" s="158">
        <f t="shared" si="4"/>
        <v>0</v>
      </c>
    </row>
    <row r="39" spans="1:25" x14ac:dyDescent="0.2">
      <c r="A39" s="16">
        <v>20</v>
      </c>
      <c r="B39" s="173"/>
      <c r="C39" s="277"/>
      <c r="D39" s="277"/>
      <c r="E39" s="247"/>
      <c r="F39" s="249"/>
      <c r="G39" s="277"/>
      <c r="H39" s="277"/>
      <c r="I39" s="247"/>
      <c r="J39" s="248"/>
      <c r="K39" s="248"/>
      <c r="L39" s="249"/>
      <c r="N39" s="13"/>
      <c r="O39" s="13"/>
      <c r="P39" s="14"/>
      <c r="Q39" s="14"/>
      <c r="R39" s="14"/>
      <c r="S39" s="14"/>
      <c r="T39" s="14"/>
      <c r="U39" s="9">
        <f t="shared" si="0"/>
        <v>0</v>
      </c>
      <c r="V39" s="159">
        <f t="shared" si="1"/>
        <v>0</v>
      </c>
      <c r="W39" s="159">
        <f t="shared" si="2"/>
        <v>0</v>
      </c>
      <c r="X39" s="9">
        <f t="shared" si="3"/>
        <v>0</v>
      </c>
      <c r="Y39" s="158">
        <f t="shared" si="4"/>
        <v>0</v>
      </c>
    </row>
    <row r="40" spans="1:25" x14ac:dyDescent="0.2">
      <c r="A40" s="16">
        <v>21</v>
      </c>
      <c r="B40" s="173"/>
      <c r="C40" s="277"/>
      <c r="D40" s="277"/>
      <c r="E40" s="247"/>
      <c r="F40" s="249"/>
      <c r="G40" s="277"/>
      <c r="H40" s="277"/>
      <c r="I40" s="247"/>
      <c r="J40" s="248"/>
      <c r="K40" s="248"/>
      <c r="L40" s="249"/>
      <c r="N40" s="13"/>
      <c r="O40" s="13"/>
      <c r="P40" s="14"/>
      <c r="Q40" s="14"/>
      <c r="R40" s="14"/>
      <c r="S40" s="14"/>
      <c r="T40" s="14"/>
      <c r="U40" s="9">
        <f t="shared" si="0"/>
        <v>0</v>
      </c>
      <c r="V40" s="159">
        <f t="shared" si="1"/>
        <v>0</v>
      </c>
      <c r="W40" s="159">
        <f t="shared" si="2"/>
        <v>0</v>
      </c>
      <c r="X40" s="9">
        <f t="shared" si="3"/>
        <v>0</v>
      </c>
      <c r="Y40" s="158">
        <f t="shared" si="4"/>
        <v>0</v>
      </c>
    </row>
    <row r="41" spans="1:25" x14ac:dyDescent="0.2">
      <c r="A41" s="16">
        <v>22</v>
      </c>
      <c r="B41" s="173"/>
      <c r="C41" s="277"/>
      <c r="D41" s="277"/>
      <c r="E41" s="247"/>
      <c r="F41" s="249"/>
      <c r="G41" s="277"/>
      <c r="H41" s="277"/>
      <c r="I41" s="247"/>
      <c r="J41" s="248"/>
      <c r="K41" s="248"/>
      <c r="L41" s="249"/>
      <c r="N41" s="13"/>
      <c r="O41" s="13"/>
      <c r="P41" s="14"/>
      <c r="Q41" s="14"/>
      <c r="R41" s="14"/>
      <c r="S41" s="14"/>
      <c r="T41" s="14"/>
      <c r="U41" s="9">
        <f t="shared" si="0"/>
        <v>0</v>
      </c>
      <c r="V41" s="159">
        <f t="shared" si="1"/>
        <v>0</v>
      </c>
      <c r="W41" s="159">
        <f t="shared" si="2"/>
        <v>0</v>
      </c>
      <c r="X41" s="9">
        <f t="shared" si="3"/>
        <v>0</v>
      </c>
      <c r="Y41" s="158">
        <f t="shared" si="4"/>
        <v>0</v>
      </c>
    </row>
    <row r="42" spans="1:25" x14ac:dyDescent="0.2">
      <c r="A42" s="16">
        <v>23</v>
      </c>
      <c r="B42" s="173"/>
      <c r="C42" s="277"/>
      <c r="D42" s="277"/>
      <c r="E42" s="247"/>
      <c r="F42" s="249"/>
      <c r="G42" s="277"/>
      <c r="H42" s="277"/>
      <c r="I42" s="247"/>
      <c r="J42" s="248"/>
      <c r="K42" s="248"/>
      <c r="L42" s="249"/>
      <c r="N42" s="13"/>
      <c r="O42" s="13"/>
      <c r="P42" s="14"/>
      <c r="Q42" s="14"/>
      <c r="R42" s="14"/>
      <c r="S42" s="14"/>
      <c r="T42" s="14"/>
      <c r="U42" s="9">
        <f t="shared" si="0"/>
        <v>0</v>
      </c>
      <c r="V42" s="159">
        <f t="shared" si="1"/>
        <v>0</v>
      </c>
      <c r="W42" s="159">
        <f t="shared" si="2"/>
        <v>0</v>
      </c>
      <c r="X42" s="9">
        <f t="shared" si="3"/>
        <v>0</v>
      </c>
      <c r="Y42" s="158">
        <f t="shared" si="4"/>
        <v>0</v>
      </c>
    </row>
    <row r="43" spans="1:25" x14ac:dyDescent="0.2">
      <c r="A43" s="16">
        <v>24</v>
      </c>
      <c r="B43" s="173"/>
      <c r="C43" s="247"/>
      <c r="D43" s="249"/>
      <c r="E43" s="247"/>
      <c r="F43" s="249"/>
      <c r="G43" s="277"/>
      <c r="H43" s="277"/>
      <c r="I43" s="247"/>
      <c r="J43" s="248"/>
      <c r="K43" s="248"/>
      <c r="L43" s="249"/>
      <c r="N43" s="13"/>
      <c r="O43" s="13"/>
      <c r="P43" s="14"/>
      <c r="Q43" s="14"/>
      <c r="R43" s="14"/>
      <c r="S43" s="14"/>
      <c r="T43" s="14"/>
      <c r="U43" s="9">
        <f t="shared" si="0"/>
        <v>0</v>
      </c>
      <c r="V43" s="159">
        <f t="shared" si="1"/>
        <v>0</v>
      </c>
      <c r="W43" s="159">
        <f t="shared" si="2"/>
        <v>0</v>
      </c>
      <c r="X43" s="9">
        <f t="shared" si="3"/>
        <v>0</v>
      </c>
      <c r="Y43" s="158">
        <f t="shared" si="4"/>
        <v>0</v>
      </c>
    </row>
    <row r="44" spans="1:25" x14ac:dyDescent="0.2">
      <c r="A44" s="16">
        <v>25</v>
      </c>
      <c r="B44" s="173"/>
      <c r="C44" s="247"/>
      <c r="D44" s="249"/>
      <c r="E44" s="247"/>
      <c r="F44" s="249"/>
      <c r="G44" s="277"/>
      <c r="H44" s="277"/>
      <c r="I44" s="247"/>
      <c r="J44" s="248"/>
      <c r="K44" s="248"/>
      <c r="L44" s="249"/>
      <c r="N44" s="13"/>
      <c r="O44" s="13"/>
      <c r="P44" s="14"/>
      <c r="Q44" s="14"/>
      <c r="R44" s="14"/>
      <c r="S44" s="14"/>
      <c r="T44" s="14"/>
      <c r="U44" s="9">
        <f t="shared" si="0"/>
        <v>0</v>
      </c>
      <c r="V44" s="159">
        <f t="shared" si="1"/>
        <v>0</v>
      </c>
      <c r="W44" s="159">
        <f t="shared" si="2"/>
        <v>0</v>
      </c>
      <c r="X44" s="9">
        <f t="shared" si="3"/>
        <v>0</v>
      </c>
      <c r="Y44" s="158">
        <f t="shared" si="4"/>
        <v>0</v>
      </c>
    </row>
    <row r="45" spans="1:25" x14ac:dyDescent="0.2">
      <c r="A45" s="16">
        <v>26</v>
      </c>
      <c r="B45" s="173"/>
      <c r="C45" s="247"/>
      <c r="D45" s="249"/>
      <c r="E45" s="247"/>
      <c r="F45" s="249"/>
      <c r="G45" s="277"/>
      <c r="H45" s="277"/>
      <c r="I45" s="247"/>
      <c r="J45" s="248"/>
      <c r="K45" s="248"/>
      <c r="L45" s="249"/>
      <c r="N45" s="13"/>
      <c r="O45" s="13"/>
      <c r="P45" s="14"/>
      <c r="Q45" s="14"/>
      <c r="R45" s="14"/>
      <c r="S45" s="14"/>
      <c r="T45" s="14"/>
      <c r="U45" s="9">
        <f t="shared" si="0"/>
        <v>0</v>
      </c>
      <c r="V45" s="159">
        <f t="shared" si="1"/>
        <v>0</v>
      </c>
      <c r="W45" s="159">
        <f t="shared" si="2"/>
        <v>0</v>
      </c>
      <c r="X45" s="9">
        <f t="shared" si="3"/>
        <v>0</v>
      </c>
      <c r="Y45" s="158">
        <f t="shared" si="4"/>
        <v>0</v>
      </c>
    </row>
    <row r="46" spans="1:25" x14ac:dyDescent="0.2">
      <c r="A46" s="16">
        <v>27</v>
      </c>
      <c r="B46" s="173"/>
      <c r="C46" s="247"/>
      <c r="D46" s="249"/>
      <c r="E46" s="247"/>
      <c r="F46" s="249"/>
      <c r="G46" s="277"/>
      <c r="H46" s="277"/>
      <c r="I46" s="247"/>
      <c r="J46" s="248"/>
      <c r="K46" s="248"/>
      <c r="L46" s="249"/>
      <c r="N46" s="13"/>
      <c r="O46" s="13"/>
      <c r="P46" s="14"/>
      <c r="Q46" s="14"/>
      <c r="R46" s="14"/>
      <c r="S46" s="14"/>
      <c r="T46" s="14"/>
      <c r="U46" s="9">
        <f t="shared" si="0"/>
        <v>0</v>
      </c>
      <c r="V46" s="159">
        <f t="shared" si="1"/>
        <v>0</v>
      </c>
      <c r="W46" s="159">
        <f t="shared" si="2"/>
        <v>0</v>
      </c>
      <c r="X46" s="9">
        <f t="shared" si="3"/>
        <v>0</v>
      </c>
      <c r="Y46" s="158">
        <f t="shared" si="4"/>
        <v>0</v>
      </c>
    </row>
    <row r="47" spans="1:25" x14ac:dyDescent="0.2">
      <c r="A47" s="16">
        <v>28</v>
      </c>
      <c r="B47" s="173"/>
      <c r="C47" s="277"/>
      <c r="D47" s="277"/>
      <c r="E47" s="247"/>
      <c r="F47" s="249"/>
      <c r="G47" s="277"/>
      <c r="H47" s="277"/>
      <c r="I47" s="247"/>
      <c r="J47" s="248"/>
      <c r="K47" s="248"/>
      <c r="L47" s="249"/>
      <c r="N47" s="13"/>
      <c r="O47" s="13"/>
      <c r="P47" s="14"/>
      <c r="Q47" s="14"/>
      <c r="R47" s="14"/>
      <c r="S47" s="14"/>
      <c r="T47" s="14"/>
      <c r="U47" s="9">
        <f t="shared" si="0"/>
        <v>0</v>
      </c>
      <c r="V47" s="159">
        <f t="shared" si="1"/>
        <v>0</v>
      </c>
      <c r="W47" s="159">
        <f t="shared" si="2"/>
        <v>0</v>
      </c>
      <c r="X47" s="9">
        <f t="shared" si="3"/>
        <v>0</v>
      </c>
      <c r="Y47" s="158">
        <f t="shared" si="4"/>
        <v>0</v>
      </c>
    </row>
    <row r="48" spans="1:25" x14ac:dyDescent="0.2">
      <c r="A48" s="16">
        <v>29</v>
      </c>
      <c r="B48" s="173"/>
      <c r="C48" s="247"/>
      <c r="D48" s="249"/>
      <c r="E48" s="247"/>
      <c r="F48" s="249"/>
      <c r="G48" s="277"/>
      <c r="H48" s="277"/>
      <c r="I48" s="247"/>
      <c r="J48" s="248"/>
      <c r="K48" s="248"/>
      <c r="L48" s="249"/>
      <c r="N48" s="13"/>
      <c r="O48" s="13"/>
      <c r="P48" s="14"/>
      <c r="Q48" s="14"/>
      <c r="R48" s="14"/>
      <c r="S48" s="14"/>
      <c r="T48" s="14"/>
      <c r="U48" s="9">
        <f t="shared" si="0"/>
        <v>0</v>
      </c>
      <c r="V48" s="159">
        <f t="shared" si="1"/>
        <v>0</v>
      </c>
      <c r="W48" s="159">
        <f t="shared" si="2"/>
        <v>0</v>
      </c>
      <c r="X48" s="9">
        <f t="shared" si="3"/>
        <v>0</v>
      </c>
      <c r="Y48" s="158">
        <f t="shared" si="4"/>
        <v>0</v>
      </c>
    </row>
    <row r="49" spans="1:51" x14ac:dyDescent="0.2">
      <c r="A49" s="16">
        <v>30</v>
      </c>
      <c r="B49" s="173"/>
      <c r="C49" s="277"/>
      <c r="D49" s="277"/>
      <c r="E49" s="247"/>
      <c r="F49" s="249"/>
      <c r="G49" s="277"/>
      <c r="H49" s="277"/>
      <c r="I49" s="247"/>
      <c r="J49" s="248"/>
      <c r="K49" s="248"/>
      <c r="L49" s="249"/>
      <c r="N49" s="13"/>
      <c r="O49" s="13"/>
      <c r="P49" s="14"/>
      <c r="Q49" s="14"/>
      <c r="R49" s="14"/>
      <c r="S49" s="14"/>
      <c r="T49" s="14"/>
      <c r="U49" s="9">
        <f t="shared" si="0"/>
        <v>0</v>
      </c>
      <c r="V49" s="159">
        <f t="shared" si="1"/>
        <v>0</v>
      </c>
      <c r="W49" s="159">
        <f t="shared" si="2"/>
        <v>0</v>
      </c>
      <c r="X49" s="9">
        <f t="shared" si="3"/>
        <v>0</v>
      </c>
      <c r="Y49" s="158">
        <f t="shared" si="4"/>
        <v>0</v>
      </c>
    </row>
    <row r="50" spans="1:51" x14ac:dyDescent="0.2">
      <c r="B50" s="10"/>
      <c r="C50" s="4"/>
      <c r="D50" s="4"/>
      <c r="E50" s="4"/>
      <c r="F50" s="4"/>
      <c r="G50" s="4"/>
      <c r="H50" s="4"/>
      <c r="I50" s="11"/>
      <c r="M50" s="11"/>
      <c r="O50" s="11"/>
      <c r="Q50" s="11"/>
      <c r="U50" s="11"/>
      <c r="V50" s="160">
        <f>SUM(V20:V49)</f>
        <v>0</v>
      </c>
      <c r="W50" s="160">
        <f>SUM(W20:W49)</f>
        <v>0</v>
      </c>
      <c r="X50" s="1" t="str">
        <f>IFERROR(AVERAGEIF(P20:P49,"&gt;0",X20:X49),"0.0")</f>
        <v>0.0</v>
      </c>
      <c r="Y50" s="161">
        <f>SUM(Y20:Y49)</f>
        <v>0</v>
      </c>
    </row>
    <row r="52" spans="1:51" ht="17.25" x14ac:dyDescent="0.35">
      <c r="B52" s="15" t="s">
        <v>156</v>
      </c>
      <c r="D52" s="177" t="s">
        <v>105</v>
      </c>
      <c r="O52" s="171"/>
      <c r="P52" s="171"/>
      <c r="Q52" s="171"/>
    </row>
    <row r="53" spans="1:51" ht="76.5" customHeight="1" x14ac:dyDescent="0.2">
      <c r="A53" s="8"/>
      <c r="B53" s="172" t="s">
        <v>0</v>
      </c>
      <c r="C53" s="273" t="s">
        <v>123</v>
      </c>
      <c r="D53" s="273"/>
      <c r="E53" s="253" t="s">
        <v>268</v>
      </c>
      <c r="F53" s="255"/>
      <c r="G53" s="253" t="s">
        <v>98</v>
      </c>
      <c r="H53" s="255"/>
      <c r="I53" s="253" t="s">
        <v>271</v>
      </c>
      <c r="J53" s="254"/>
      <c r="K53" s="254"/>
      <c r="L53" s="255"/>
      <c r="M53" s="172" t="s">
        <v>262</v>
      </c>
      <c r="N53" s="7" t="s">
        <v>174</v>
      </c>
      <c r="O53" s="172" t="s">
        <v>85</v>
      </c>
      <c r="P53" s="172" t="s">
        <v>1</v>
      </c>
      <c r="Q53" s="186" t="s">
        <v>366</v>
      </c>
      <c r="R53" s="172" t="s">
        <v>124</v>
      </c>
      <c r="S53" s="172" t="s">
        <v>5</v>
      </c>
      <c r="T53" s="172" t="s">
        <v>2</v>
      </c>
      <c r="U53" s="172" t="s">
        <v>3</v>
      </c>
      <c r="V53" s="172" t="s">
        <v>272</v>
      </c>
      <c r="W53" s="172" t="s">
        <v>6</v>
      </c>
      <c r="X53" s="172" t="s">
        <v>242</v>
      </c>
      <c r="Y53" s="172" t="s">
        <v>4</v>
      </c>
      <c r="Z53" s="172" t="s">
        <v>7</v>
      </c>
      <c r="AA53" s="172" t="s">
        <v>263</v>
      </c>
      <c r="AC53" s="190" t="s">
        <v>340</v>
      </c>
      <c r="AD53" s="154" t="s">
        <v>339</v>
      </c>
      <c r="AE53" s="190" t="s">
        <v>341</v>
      </c>
      <c r="AF53" s="154" t="s">
        <v>342</v>
      </c>
      <c r="AG53" s="190" t="s">
        <v>343</v>
      </c>
      <c r="AH53" s="154" t="s">
        <v>344</v>
      </c>
      <c r="AI53" s="190" t="s">
        <v>345</v>
      </c>
      <c r="AJ53" s="154" t="s">
        <v>346</v>
      </c>
      <c r="AK53" s="190" t="s">
        <v>335</v>
      </c>
      <c r="AL53" s="154" t="s">
        <v>336</v>
      </c>
      <c r="AM53" s="190" t="s">
        <v>337</v>
      </c>
      <c r="AN53" s="154" t="s">
        <v>338</v>
      </c>
      <c r="AO53" s="190" t="s">
        <v>347</v>
      </c>
      <c r="AP53" s="154" t="s">
        <v>348</v>
      </c>
      <c r="AQ53" s="190" t="s">
        <v>333</v>
      </c>
      <c r="AR53" s="154" t="s">
        <v>334</v>
      </c>
      <c r="AS53" s="190" t="s">
        <v>350</v>
      </c>
      <c r="AT53" s="154" t="s">
        <v>349</v>
      </c>
      <c r="AU53" s="154" t="s">
        <v>351</v>
      </c>
      <c r="AV53" s="154" t="s">
        <v>354</v>
      </c>
      <c r="AW53" s="154" t="s">
        <v>355</v>
      </c>
      <c r="AX53" s="155" t="s">
        <v>260</v>
      </c>
      <c r="AY53" s="155" t="s">
        <v>261</v>
      </c>
    </row>
    <row r="54" spans="1:51" x14ac:dyDescent="0.2">
      <c r="A54" s="16">
        <v>1</v>
      </c>
      <c r="B54" s="173"/>
      <c r="C54" s="274"/>
      <c r="D54" s="275"/>
      <c r="E54" s="256">
        <f>E20</f>
        <v>0</v>
      </c>
      <c r="F54" s="257"/>
      <c r="G54" s="247"/>
      <c r="H54" s="249"/>
      <c r="I54" s="247"/>
      <c r="J54" s="248"/>
      <c r="K54" s="248"/>
      <c r="L54" s="249"/>
      <c r="M54" s="13"/>
      <c r="N54" s="13"/>
      <c r="O54" s="13"/>
      <c r="P54" s="14"/>
      <c r="Q54" s="13"/>
      <c r="R54" s="14"/>
      <c r="S54" s="14"/>
      <c r="T54" s="14"/>
      <c r="U54" s="14"/>
      <c r="V54" s="136">
        <f t="shared" ref="V54:V83" si="5">P54*O54</f>
        <v>0</v>
      </c>
      <c r="W54" s="163">
        <f t="shared" ref="W54:W83" si="6">N54*V54/1000</f>
        <v>0</v>
      </c>
      <c r="X54" s="163">
        <f t="shared" ref="X54:X83" si="7">IF((S54&lt;=4),W54*(S54/4),"Error")</f>
        <v>0</v>
      </c>
      <c r="Y54" s="166">
        <f t="shared" ref="Y54:Y83" si="8">((R54*5)+T54+U54)/7*365</f>
        <v>0</v>
      </c>
      <c r="Z54" s="162">
        <f t="shared" ref="Z54:Z83" si="9">IF(Y54&lt;=8760,W54*Y54,"Error")</f>
        <v>0</v>
      </c>
      <c r="AA54" s="169">
        <f>IFERROR(IF(M54 / Y54 &gt; 25, 25, M54 / Y54), 0)</f>
        <v>0</v>
      </c>
      <c r="AB54" s="213" t="str">
        <f>IF(AND(E54="Omni/Directional, Decorative",  $C$7 = "Retrofit", ISBLANK(Q54)), "Error: Check Inputs", "")</f>
        <v/>
      </c>
      <c r="AC54" s="191">
        <f>P20</f>
        <v>0</v>
      </c>
      <c r="AD54" s="189">
        <f>IF(AND(E54 = "Omni/Directional, Decorative", $C$7 = "Retrofit"), Q54 / 45, AC54)</f>
        <v>0</v>
      </c>
      <c r="AE54" s="192">
        <f>U20</f>
        <v>0</v>
      </c>
      <c r="AF54" s="189">
        <f t="shared" ref="AF54:AF83" si="10">O54 * AD54</f>
        <v>0</v>
      </c>
      <c r="AG54" s="193">
        <f>V20</f>
        <v>0</v>
      </c>
      <c r="AH54" s="187">
        <f>N54 * AF54 / 1000</f>
        <v>0</v>
      </c>
      <c r="AI54" s="193">
        <f>W20</f>
        <v>0</v>
      </c>
      <c r="AJ54" s="187">
        <f>IF((S54&lt;=4),AH54*(S54/4),"Error")</f>
        <v>0</v>
      </c>
      <c r="AK54" s="194">
        <f t="shared" ref="AK54:AK83" si="11">V20-W54</f>
        <v>0</v>
      </c>
      <c r="AL54" s="156">
        <f>AH54-W54</f>
        <v>0</v>
      </c>
      <c r="AM54" s="194">
        <f t="shared" ref="AM54:AM83" si="12">W20-X54</f>
        <v>0</v>
      </c>
      <c r="AN54" s="156">
        <f>AJ54-X54</f>
        <v>0</v>
      </c>
      <c r="AO54" s="208">
        <f>Y20</f>
        <v>0</v>
      </c>
      <c r="AP54" s="209">
        <f>IF(X20 &lt;= 8760, AH54 * X20, "Error")</f>
        <v>0</v>
      </c>
      <c r="AQ54" s="208">
        <f>AO54 - Z54</f>
        <v>0</v>
      </c>
      <c r="AR54" s="209">
        <f>AP54-Z54</f>
        <v>0</v>
      </c>
      <c r="AS54" s="211">
        <f>ROUND(AA54, 0)</f>
        <v>0</v>
      </c>
      <c r="AT54" s="212">
        <f>IF(AND(E54 = "Omni/Directional, Decorative", $C$7 = "Retrofit"), 1, ROUND(AS54, 0))</f>
        <v>0</v>
      </c>
      <c r="AU54" s="157">
        <f>AT54 * AQ54 + (AS54-AT54) * AR54</f>
        <v>0</v>
      </c>
      <c r="AV54" s="210" t="e">
        <f ca="1">_xlfn.IFNA(AM54 * AX54 * INDEX(INDIRECT("avoidedCost[" &amp; $T$6 &amp; "_$/kW]"), MATCH(AT54, avoidedCost[Measure Year], 0)) +
AQ54 * AY54 * INDEX(INDIRECT("avoidedCost[" &amp; $T$6 &amp; "_$/kWh]"), MATCH(AT54, avoidedCost[Measure Year], 0)), 0)</f>
        <v>#REF!</v>
      </c>
      <c r="AW54" s="210" t="e">
        <f ca="1">_xlfn.IFNA(AN54 * AX54 * (INDEX(INDIRECT("avoidedCost[" &amp; $T$6 &amp; "_$/kW]"), MATCH(AS54, avoidedCost[Measure Year], 0)) - INDEX(INDIRECT("avoidedCost[" &amp; $T$6 &amp; "_$/kW]"), MATCH(AT54, avoidedCost[Measure Year], 0))) +
AR54 * AY54 * (INDEX(INDIRECT("avoidedCost[" &amp; $T$6 &amp; "_$/kWh]"), MATCH(AS54, avoidedCost[Measure Year], 0)) - INDEX(INDIRECT("avoidedCost[" &amp; $T$6 &amp; "_$/kWh]"), MATCH(AT54, avoidedCost[Measure Year], 0))), 0)</f>
        <v>#REF!</v>
      </c>
      <c r="AX54" s="175">
        <f>IF('Lighting Input'!E54='Lookup Tables'!$G$3, INDEX('Lookup Tables'!$G$5:$J$15, MATCH('Lighting Input'!$C$10, 'Lookup Tables'!$F$5:$F$15,0),1), IF('Lighting Input'!E54='Lookup Tables'!$I$3, INDEX('Lookup Tables'!$I$5:$J$15, MATCH('Lighting Input'!$C$10, 'Lookup Tables'!$F$5:$F$15,0),1), 1))</f>
        <v>1</v>
      </c>
      <c r="AY54" s="175">
        <f>IF('Lighting Input'!E54='Lookup Tables'!$G$3, INDEX('Lookup Tables'!$G$5:$J$15, MATCH('Lighting Input'!$C$10, 'Lookup Tables'!$F$5:$F$15,0),2), IF('Lighting Input'!E54='Lookup Tables'!$I$3, INDEX('Lookup Tables'!$I$5:$J$15, MATCH('Lighting Input'!$C$10, 'Lookup Tables'!$F$5:$F$15,0),2), 1))</f>
        <v>1</v>
      </c>
    </row>
    <row r="55" spans="1:51" x14ac:dyDescent="0.2">
      <c r="A55" s="16">
        <v>2</v>
      </c>
      <c r="B55" s="173"/>
      <c r="C55" s="274"/>
      <c r="D55" s="275"/>
      <c r="E55" s="256">
        <f t="shared" ref="E55:E83" si="13">E21</f>
        <v>0</v>
      </c>
      <c r="F55" s="257"/>
      <c r="G55" s="247"/>
      <c r="H55" s="249"/>
      <c r="I55" s="247"/>
      <c r="J55" s="248"/>
      <c r="K55" s="248"/>
      <c r="L55" s="249"/>
      <c r="M55" s="13"/>
      <c r="N55" s="13"/>
      <c r="O55" s="13"/>
      <c r="P55" s="14"/>
      <c r="Q55" s="13"/>
      <c r="R55" s="14"/>
      <c r="S55" s="14"/>
      <c r="T55" s="14"/>
      <c r="U55" s="14"/>
      <c r="V55" s="136">
        <f t="shared" si="5"/>
        <v>0</v>
      </c>
      <c r="W55" s="163">
        <f t="shared" si="6"/>
        <v>0</v>
      </c>
      <c r="X55" s="163">
        <f t="shared" si="7"/>
        <v>0</v>
      </c>
      <c r="Y55" s="166">
        <f t="shared" si="8"/>
        <v>0</v>
      </c>
      <c r="Z55" s="162">
        <f t="shared" si="9"/>
        <v>0</v>
      </c>
      <c r="AA55" s="169">
        <f t="shared" ref="AA55:AA83" si="14">IFERROR(IF(M55 / Y55 &gt; 25, 25, M55 / Y55), 0)</f>
        <v>0</v>
      </c>
      <c r="AB55" s="213" t="str">
        <f t="shared" ref="AB55:AB83" si="15">IF(AND(E55="Omni/Directional, Decorative",  $C$7 = "Retrofit", ISBLANK(Q55)), "Error: Check Inputs", "")</f>
        <v/>
      </c>
      <c r="AC55" s="191">
        <f t="shared" ref="AC55:AC83" si="16">P21</f>
        <v>0</v>
      </c>
      <c r="AD55" s="189">
        <f t="shared" ref="AD55:AD83" si="17">IF(AND(E55 = "Omni/Directional, Decorative", $C$7 = "Retrofit"), Q55 / 45, AC55)</f>
        <v>0</v>
      </c>
      <c r="AE55" s="192">
        <f t="shared" ref="AE55:AE83" si="18">U21</f>
        <v>0</v>
      </c>
      <c r="AF55" s="189">
        <f t="shared" si="10"/>
        <v>0</v>
      </c>
      <c r="AG55" s="193">
        <f t="shared" ref="AG55:AG83" si="19">V21</f>
        <v>0</v>
      </c>
      <c r="AH55" s="187">
        <f t="shared" ref="AH55:AH83" si="20">N55 * AF55 / 1000</f>
        <v>0</v>
      </c>
      <c r="AI55" s="193">
        <f t="shared" ref="AI55:AI83" si="21">W21</f>
        <v>0</v>
      </c>
      <c r="AJ55" s="187">
        <f t="shared" ref="AJ55:AJ83" si="22">IF((S55&lt;=4),AH55*(S55/4),"Error")</f>
        <v>0</v>
      </c>
      <c r="AK55" s="194">
        <f t="shared" si="11"/>
        <v>0</v>
      </c>
      <c r="AL55" s="156">
        <f t="shared" ref="AL55:AL83" si="23">AH55-W55</f>
        <v>0</v>
      </c>
      <c r="AM55" s="194">
        <f t="shared" si="12"/>
        <v>0</v>
      </c>
      <c r="AN55" s="156">
        <f t="shared" ref="AN55:AN83" si="24">AJ55-X55</f>
        <v>0</v>
      </c>
      <c r="AO55" s="208">
        <f t="shared" ref="AO55:AO83" si="25">Y21</f>
        <v>0</v>
      </c>
      <c r="AP55" s="209">
        <f t="shared" ref="AP55:AP83" si="26">IF(X21 &lt;= 8760, AH55 * X21, "Error")</f>
        <v>0</v>
      </c>
      <c r="AQ55" s="208">
        <f t="shared" ref="AQ55:AQ83" si="27">AO55 - Z55</f>
        <v>0</v>
      </c>
      <c r="AR55" s="209">
        <f t="shared" ref="AR55:AR83" si="28">AP55-Z55</f>
        <v>0</v>
      </c>
      <c r="AS55" s="211">
        <f t="shared" ref="AS55:AS83" si="29">ROUND(AA55, 0)</f>
        <v>0</v>
      </c>
      <c r="AT55" s="212">
        <f t="shared" ref="AT55:AT83" si="30">IF(AND(E55 = "Omni/Directional, Decorative", $C$7 = "Retrofit"), 1, ROUND(AS55, 0))</f>
        <v>0</v>
      </c>
      <c r="AU55" s="157">
        <f t="shared" ref="AU55:AU83" si="31">AT55 * AQ55 + (AS55-AT55) * AR55</f>
        <v>0</v>
      </c>
      <c r="AV55" s="210" t="e">
        <f ca="1">_xlfn.IFNA(AM55 * AX55 * INDEX(INDIRECT("avoidedCost[" &amp; $T$6 &amp; "_$/kW]"), MATCH(AT55, avoidedCost[Measure Year], 0)) +
AQ55 * AY55 * INDEX(INDIRECT("avoidedCost[" &amp; $T$6 &amp; "_$/kWh]"), MATCH(AT55, avoidedCost[Measure Year], 0)), 0)</f>
        <v>#REF!</v>
      </c>
      <c r="AW55" s="210" t="e">
        <f ca="1">_xlfn.IFNA(AN55 * AX55 * (INDEX(INDIRECT("avoidedCost[" &amp; $T$6 &amp; "_$/kW]"), MATCH(AS55, avoidedCost[Measure Year], 0)) - INDEX(INDIRECT("avoidedCost[" &amp; $T$6 &amp; "_$/kW]"), MATCH(AT55, avoidedCost[Measure Year], 0))) +
AR55 * AY55 * (INDEX(INDIRECT("avoidedCost[" &amp; $T$6 &amp; "_$/kWh]"), MATCH(AS55, avoidedCost[Measure Year], 0)) - INDEX(INDIRECT("avoidedCost[" &amp; $T$6 &amp; "_$/kWh]"), MATCH(AT55, avoidedCost[Measure Year], 0))), 0)</f>
        <v>#REF!</v>
      </c>
      <c r="AX55" s="175">
        <f>IF('Lighting Input'!E55='Lookup Tables'!$G$3, INDEX('Lookup Tables'!$G$5:$J$15, MATCH('Lighting Input'!$C$10, 'Lookup Tables'!$F$5:$F$15,0),1), IF('Lighting Input'!E55='Lookup Tables'!$I$3, INDEX('Lookup Tables'!$I$5:$J$15, MATCH('Lighting Input'!$C$10, 'Lookup Tables'!$F$5:$F$15,0),1), 1))</f>
        <v>1</v>
      </c>
      <c r="AY55" s="175">
        <f>IF('Lighting Input'!E55='Lookup Tables'!$G$3, INDEX('Lookup Tables'!$G$5:$J$15, MATCH('Lighting Input'!$C$10, 'Lookup Tables'!$F$5:$F$15,0),2), IF('Lighting Input'!E55='Lookup Tables'!$I$3, INDEX('Lookup Tables'!$I$5:$J$15, MATCH('Lighting Input'!$C$10, 'Lookup Tables'!$F$5:$F$15,0),2), 1))</f>
        <v>1</v>
      </c>
    </row>
    <row r="56" spans="1:51" x14ac:dyDescent="0.2">
      <c r="A56" s="16">
        <v>3</v>
      </c>
      <c r="B56" s="173"/>
      <c r="C56" s="274"/>
      <c r="D56" s="275"/>
      <c r="E56" s="256">
        <f t="shared" si="13"/>
        <v>0</v>
      </c>
      <c r="F56" s="257"/>
      <c r="G56" s="247"/>
      <c r="H56" s="249"/>
      <c r="I56" s="247"/>
      <c r="J56" s="248"/>
      <c r="K56" s="248"/>
      <c r="L56" s="249"/>
      <c r="M56" s="13"/>
      <c r="N56" s="13"/>
      <c r="O56" s="13"/>
      <c r="P56" s="14"/>
      <c r="Q56" s="13"/>
      <c r="R56" s="14"/>
      <c r="S56" s="14"/>
      <c r="T56" s="14"/>
      <c r="U56" s="14"/>
      <c r="V56" s="136">
        <f t="shared" si="5"/>
        <v>0</v>
      </c>
      <c r="W56" s="163">
        <f t="shared" si="6"/>
        <v>0</v>
      </c>
      <c r="X56" s="163">
        <f t="shared" si="7"/>
        <v>0</v>
      </c>
      <c r="Y56" s="166">
        <f t="shared" si="8"/>
        <v>0</v>
      </c>
      <c r="Z56" s="162">
        <f t="shared" si="9"/>
        <v>0</v>
      </c>
      <c r="AA56" s="169">
        <f t="shared" si="14"/>
        <v>0</v>
      </c>
      <c r="AB56" s="213" t="str">
        <f t="shared" si="15"/>
        <v/>
      </c>
      <c r="AC56" s="191">
        <f t="shared" si="16"/>
        <v>0</v>
      </c>
      <c r="AD56" s="189">
        <f t="shared" si="17"/>
        <v>0</v>
      </c>
      <c r="AE56" s="192">
        <f t="shared" si="18"/>
        <v>0</v>
      </c>
      <c r="AF56" s="189">
        <f t="shared" si="10"/>
        <v>0</v>
      </c>
      <c r="AG56" s="193">
        <f t="shared" si="19"/>
        <v>0</v>
      </c>
      <c r="AH56" s="187">
        <f t="shared" si="20"/>
        <v>0</v>
      </c>
      <c r="AI56" s="193">
        <f t="shared" si="21"/>
        <v>0</v>
      </c>
      <c r="AJ56" s="187">
        <f t="shared" si="22"/>
        <v>0</v>
      </c>
      <c r="AK56" s="194">
        <f t="shared" si="11"/>
        <v>0</v>
      </c>
      <c r="AL56" s="156">
        <f t="shared" si="23"/>
        <v>0</v>
      </c>
      <c r="AM56" s="194">
        <f t="shared" si="12"/>
        <v>0</v>
      </c>
      <c r="AN56" s="156">
        <f t="shared" si="24"/>
        <v>0</v>
      </c>
      <c r="AO56" s="208">
        <f t="shared" si="25"/>
        <v>0</v>
      </c>
      <c r="AP56" s="209">
        <f t="shared" si="26"/>
        <v>0</v>
      </c>
      <c r="AQ56" s="208">
        <f t="shared" si="27"/>
        <v>0</v>
      </c>
      <c r="AR56" s="209">
        <f t="shared" si="28"/>
        <v>0</v>
      </c>
      <c r="AS56" s="211">
        <f t="shared" si="29"/>
        <v>0</v>
      </c>
      <c r="AT56" s="212">
        <f t="shared" si="30"/>
        <v>0</v>
      </c>
      <c r="AU56" s="157">
        <f t="shared" si="31"/>
        <v>0</v>
      </c>
      <c r="AV56" s="210" t="e">
        <f ca="1">_xlfn.IFNA(AM56 * AX56 * INDEX(INDIRECT("avoidedCost[" &amp; $T$6 &amp; "_$/kW]"), MATCH(AT56, avoidedCost[Measure Year], 0)) +
AQ56 * AY56 * INDEX(INDIRECT("avoidedCost[" &amp; $T$6 &amp; "_$/kWh]"), MATCH(AT56, avoidedCost[Measure Year], 0)), 0)</f>
        <v>#REF!</v>
      </c>
      <c r="AW56" s="210" t="e">
        <f ca="1">_xlfn.IFNA(AN56 * AX56 * (INDEX(INDIRECT("avoidedCost[" &amp; $T$6 &amp; "_$/kW]"), MATCH(AS56, avoidedCost[Measure Year], 0)) - INDEX(INDIRECT("avoidedCost[" &amp; $T$6 &amp; "_$/kW]"), MATCH(AT56, avoidedCost[Measure Year], 0))) +
AR56 * AY56 * (INDEX(INDIRECT("avoidedCost[" &amp; $T$6 &amp; "_$/kWh]"), MATCH(AS56, avoidedCost[Measure Year], 0)) - INDEX(INDIRECT("avoidedCost[" &amp; $T$6 &amp; "_$/kWh]"), MATCH(AT56, avoidedCost[Measure Year], 0))), 0)</f>
        <v>#REF!</v>
      </c>
      <c r="AX56" s="175">
        <f>IF('Lighting Input'!E56='Lookup Tables'!$G$3, INDEX('Lookup Tables'!$G$5:$J$15, MATCH('Lighting Input'!$C$10, 'Lookup Tables'!$F$5:$F$15,0),1), IF('Lighting Input'!E56='Lookup Tables'!$I$3, INDEX('Lookup Tables'!$I$5:$J$15, MATCH('Lighting Input'!$C$10, 'Lookup Tables'!$F$5:$F$15,0),1), 1))</f>
        <v>1</v>
      </c>
      <c r="AY56" s="175">
        <f>IF('Lighting Input'!E56='Lookup Tables'!$G$3, INDEX('Lookup Tables'!$G$5:$J$15, MATCH('Lighting Input'!$C$10, 'Lookup Tables'!$F$5:$F$15,0),2), IF('Lighting Input'!E56='Lookup Tables'!$I$3, INDEX('Lookup Tables'!$I$5:$J$15, MATCH('Lighting Input'!$C$10, 'Lookup Tables'!$F$5:$F$15,0),2), 1))</f>
        <v>1</v>
      </c>
    </row>
    <row r="57" spans="1:51" x14ac:dyDescent="0.2">
      <c r="A57" s="16">
        <v>4</v>
      </c>
      <c r="B57" s="173"/>
      <c r="C57" s="274"/>
      <c r="D57" s="275"/>
      <c r="E57" s="256">
        <f t="shared" si="13"/>
        <v>0</v>
      </c>
      <c r="F57" s="257"/>
      <c r="G57" s="247"/>
      <c r="H57" s="249"/>
      <c r="I57" s="247"/>
      <c r="J57" s="248"/>
      <c r="K57" s="248"/>
      <c r="L57" s="249"/>
      <c r="M57" s="13"/>
      <c r="N57" s="13"/>
      <c r="O57" s="13"/>
      <c r="P57" s="14"/>
      <c r="Q57" s="13"/>
      <c r="R57" s="14"/>
      <c r="S57" s="14"/>
      <c r="T57" s="14"/>
      <c r="U57" s="14"/>
      <c r="V57" s="136">
        <f t="shared" si="5"/>
        <v>0</v>
      </c>
      <c r="W57" s="163">
        <f t="shared" si="6"/>
        <v>0</v>
      </c>
      <c r="X57" s="163">
        <f t="shared" si="7"/>
        <v>0</v>
      </c>
      <c r="Y57" s="166">
        <f t="shared" si="8"/>
        <v>0</v>
      </c>
      <c r="Z57" s="162">
        <f t="shared" si="9"/>
        <v>0</v>
      </c>
      <c r="AA57" s="169">
        <f t="shared" si="14"/>
        <v>0</v>
      </c>
      <c r="AB57" s="213" t="str">
        <f t="shared" si="15"/>
        <v/>
      </c>
      <c r="AC57" s="191">
        <f t="shared" si="16"/>
        <v>0</v>
      </c>
      <c r="AD57" s="189">
        <f t="shared" si="17"/>
        <v>0</v>
      </c>
      <c r="AE57" s="192">
        <f t="shared" si="18"/>
        <v>0</v>
      </c>
      <c r="AF57" s="189">
        <f t="shared" si="10"/>
        <v>0</v>
      </c>
      <c r="AG57" s="193">
        <f t="shared" si="19"/>
        <v>0</v>
      </c>
      <c r="AH57" s="187">
        <f t="shared" si="20"/>
        <v>0</v>
      </c>
      <c r="AI57" s="193">
        <f t="shared" si="21"/>
        <v>0</v>
      </c>
      <c r="AJ57" s="187">
        <f t="shared" si="22"/>
        <v>0</v>
      </c>
      <c r="AK57" s="194">
        <f t="shared" si="11"/>
        <v>0</v>
      </c>
      <c r="AL57" s="156">
        <f t="shared" si="23"/>
        <v>0</v>
      </c>
      <c r="AM57" s="194">
        <f t="shared" si="12"/>
        <v>0</v>
      </c>
      <c r="AN57" s="156">
        <f t="shared" si="24"/>
        <v>0</v>
      </c>
      <c r="AO57" s="208">
        <f t="shared" si="25"/>
        <v>0</v>
      </c>
      <c r="AP57" s="209">
        <f t="shared" si="26"/>
        <v>0</v>
      </c>
      <c r="AQ57" s="208">
        <f t="shared" si="27"/>
        <v>0</v>
      </c>
      <c r="AR57" s="209">
        <f t="shared" si="28"/>
        <v>0</v>
      </c>
      <c r="AS57" s="211">
        <f t="shared" si="29"/>
        <v>0</v>
      </c>
      <c r="AT57" s="212">
        <f t="shared" si="30"/>
        <v>0</v>
      </c>
      <c r="AU57" s="157">
        <f t="shared" si="31"/>
        <v>0</v>
      </c>
      <c r="AV57" s="210" t="e">
        <f ca="1">_xlfn.IFNA(AM57 * AX57 * INDEX(INDIRECT("avoidedCost[" &amp; $T$6 &amp; "_$/kW]"), MATCH(AT57, avoidedCost[Measure Year], 0)) +
AQ57 * AY57 * INDEX(INDIRECT("avoidedCost[" &amp; $T$6 &amp; "_$/kWh]"), MATCH(AT57, avoidedCost[Measure Year], 0)), 0)</f>
        <v>#REF!</v>
      </c>
      <c r="AW57" s="210" t="e">
        <f ca="1">_xlfn.IFNA(AN57 * AX57 * (INDEX(INDIRECT("avoidedCost[" &amp; $T$6 &amp; "_$/kW]"), MATCH(AS57, avoidedCost[Measure Year], 0)) - INDEX(INDIRECT("avoidedCost[" &amp; $T$6 &amp; "_$/kW]"), MATCH(AT57, avoidedCost[Measure Year], 0))) +
AR57 * AY57 * (INDEX(INDIRECT("avoidedCost[" &amp; $T$6 &amp; "_$/kWh]"), MATCH(AS57, avoidedCost[Measure Year], 0)) - INDEX(INDIRECT("avoidedCost[" &amp; $T$6 &amp; "_$/kWh]"), MATCH(AT57, avoidedCost[Measure Year], 0))), 0)</f>
        <v>#REF!</v>
      </c>
      <c r="AX57" s="175">
        <f>IF('Lighting Input'!E57='Lookup Tables'!$G$3, INDEX('Lookup Tables'!$G$5:$J$15, MATCH('Lighting Input'!$C$10, 'Lookup Tables'!$F$5:$F$15,0),1), IF('Lighting Input'!E57='Lookup Tables'!$I$3, INDEX('Lookup Tables'!$I$5:$J$15, MATCH('Lighting Input'!$C$10, 'Lookup Tables'!$F$5:$F$15,0),1), 1))</f>
        <v>1</v>
      </c>
      <c r="AY57" s="175">
        <f>IF('Lighting Input'!E57='Lookup Tables'!$G$3, INDEX('Lookup Tables'!$G$5:$J$15, MATCH('Lighting Input'!$C$10, 'Lookup Tables'!$F$5:$F$15,0),2), IF('Lighting Input'!E57='Lookup Tables'!$I$3, INDEX('Lookup Tables'!$I$5:$J$15, MATCH('Lighting Input'!$C$10, 'Lookup Tables'!$F$5:$F$15,0),2), 1))</f>
        <v>1</v>
      </c>
    </row>
    <row r="58" spans="1:51" x14ac:dyDescent="0.2">
      <c r="A58" s="16">
        <v>5</v>
      </c>
      <c r="B58" s="173"/>
      <c r="C58" s="274"/>
      <c r="D58" s="275"/>
      <c r="E58" s="256">
        <f t="shared" si="13"/>
        <v>0</v>
      </c>
      <c r="F58" s="257"/>
      <c r="G58" s="247"/>
      <c r="H58" s="249"/>
      <c r="I58" s="247"/>
      <c r="J58" s="248"/>
      <c r="K58" s="248"/>
      <c r="L58" s="249"/>
      <c r="M58" s="13"/>
      <c r="N58" s="13"/>
      <c r="O58" s="13"/>
      <c r="P58" s="14"/>
      <c r="Q58" s="13"/>
      <c r="R58" s="14"/>
      <c r="S58" s="14"/>
      <c r="T58" s="14"/>
      <c r="U58" s="14"/>
      <c r="V58" s="136">
        <f t="shared" si="5"/>
        <v>0</v>
      </c>
      <c r="W58" s="163">
        <f t="shared" si="6"/>
        <v>0</v>
      </c>
      <c r="X58" s="163">
        <f t="shared" si="7"/>
        <v>0</v>
      </c>
      <c r="Y58" s="166">
        <f t="shared" si="8"/>
        <v>0</v>
      </c>
      <c r="Z58" s="162">
        <f t="shared" si="9"/>
        <v>0</v>
      </c>
      <c r="AA58" s="169">
        <f t="shared" si="14"/>
        <v>0</v>
      </c>
      <c r="AB58" s="213" t="str">
        <f t="shared" si="15"/>
        <v/>
      </c>
      <c r="AC58" s="191">
        <f t="shared" si="16"/>
        <v>0</v>
      </c>
      <c r="AD58" s="189">
        <f t="shared" si="17"/>
        <v>0</v>
      </c>
      <c r="AE58" s="192">
        <f t="shared" si="18"/>
        <v>0</v>
      </c>
      <c r="AF58" s="189">
        <f t="shared" si="10"/>
        <v>0</v>
      </c>
      <c r="AG58" s="193">
        <f t="shared" si="19"/>
        <v>0</v>
      </c>
      <c r="AH58" s="187">
        <f t="shared" si="20"/>
        <v>0</v>
      </c>
      <c r="AI58" s="193">
        <f t="shared" si="21"/>
        <v>0</v>
      </c>
      <c r="AJ58" s="187">
        <f t="shared" si="22"/>
        <v>0</v>
      </c>
      <c r="AK58" s="194">
        <f t="shared" si="11"/>
        <v>0</v>
      </c>
      <c r="AL58" s="156">
        <f t="shared" si="23"/>
        <v>0</v>
      </c>
      <c r="AM58" s="194">
        <f t="shared" si="12"/>
        <v>0</v>
      </c>
      <c r="AN58" s="156">
        <f t="shared" si="24"/>
        <v>0</v>
      </c>
      <c r="AO58" s="208">
        <f t="shared" si="25"/>
        <v>0</v>
      </c>
      <c r="AP58" s="209">
        <f t="shared" si="26"/>
        <v>0</v>
      </c>
      <c r="AQ58" s="208">
        <f t="shared" si="27"/>
        <v>0</v>
      </c>
      <c r="AR58" s="209">
        <f t="shared" si="28"/>
        <v>0</v>
      </c>
      <c r="AS58" s="211">
        <f t="shared" si="29"/>
        <v>0</v>
      </c>
      <c r="AT58" s="212">
        <f t="shared" si="30"/>
        <v>0</v>
      </c>
      <c r="AU58" s="157">
        <f t="shared" si="31"/>
        <v>0</v>
      </c>
      <c r="AV58" s="210" t="e">
        <f ca="1">_xlfn.IFNA(AM58 * AX58 * INDEX(INDIRECT("avoidedCost[" &amp; $T$6 &amp; "_$/kW]"), MATCH(AT58, avoidedCost[Measure Year], 0)) +
AQ58 * AY58 * INDEX(INDIRECT("avoidedCost[" &amp; $T$6 &amp; "_$/kWh]"), MATCH(AT58, avoidedCost[Measure Year], 0)), 0)</f>
        <v>#REF!</v>
      </c>
      <c r="AW58" s="210" t="e">
        <f ca="1">_xlfn.IFNA(AN58 * AX58 * (INDEX(INDIRECT("avoidedCost[" &amp; $T$6 &amp; "_$/kW]"), MATCH(AS58, avoidedCost[Measure Year], 0)) - INDEX(INDIRECT("avoidedCost[" &amp; $T$6 &amp; "_$/kW]"), MATCH(AT58, avoidedCost[Measure Year], 0))) +
AR58 * AY58 * (INDEX(INDIRECT("avoidedCost[" &amp; $T$6 &amp; "_$/kWh]"), MATCH(AS58, avoidedCost[Measure Year], 0)) - INDEX(INDIRECT("avoidedCost[" &amp; $T$6 &amp; "_$/kWh]"), MATCH(AT58, avoidedCost[Measure Year], 0))), 0)</f>
        <v>#REF!</v>
      </c>
      <c r="AX58" s="175">
        <f>IF('Lighting Input'!E58='Lookup Tables'!$G$3, INDEX('Lookup Tables'!$G$5:$J$15, MATCH('Lighting Input'!$C$10, 'Lookup Tables'!$F$5:$F$15,0),1), IF('Lighting Input'!E58='Lookup Tables'!$I$3, INDEX('Lookup Tables'!$I$5:$J$15, MATCH('Lighting Input'!$C$10, 'Lookup Tables'!$F$5:$F$15,0),1), 1))</f>
        <v>1</v>
      </c>
      <c r="AY58" s="175">
        <f>IF('Lighting Input'!E58='Lookup Tables'!$G$3, INDEX('Lookup Tables'!$G$5:$J$15, MATCH('Lighting Input'!$C$10, 'Lookup Tables'!$F$5:$F$15,0),2), IF('Lighting Input'!E58='Lookup Tables'!$I$3, INDEX('Lookup Tables'!$I$5:$J$15, MATCH('Lighting Input'!$C$10, 'Lookup Tables'!$F$5:$F$15,0),2), 1))</f>
        <v>1</v>
      </c>
    </row>
    <row r="59" spans="1:51" x14ac:dyDescent="0.2">
      <c r="A59" s="16">
        <v>6</v>
      </c>
      <c r="B59" s="173"/>
      <c r="C59" s="247"/>
      <c r="D59" s="249"/>
      <c r="E59" s="256">
        <f t="shared" si="13"/>
        <v>0</v>
      </c>
      <c r="F59" s="257"/>
      <c r="G59" s="247"/>
      <c r="H59" s="249"/>
      <c r="I59" s="247"/>
      <c r="J59" s="248"/>
      <c r="K59" s="248"/>
      <c r="L59" s="249"/>
      <c r="M59" s="13"/>
      <c r="N59" s="13"/>
      <c r="O59" s="13"/>
      <c r="P59" s="14"/>
      <c r="Q59" s="13"/>
      <c r="R59" s="14"/>
      <c r="S59" s="14"/>
      <c r="T59" s="14"/>
      <c r="U59" s="14"/>
      <c r="V59" s="136">
        <f t="shared" si="5"/>
        <v>0</v>
      </c>
      <c r="W59" s="163">
        <f t="shared" si="6"/>
        <v>0</v>
      </c>
      <c r="X59" s="163">
        <f t="shared" si="7"/>
        <v>0</v>
      </c>
      <c r="Y59" s="166">
        <f t="shared" si="8"/>
        <v>0</v>
      </c>
      <c r="Z59" s="162">
        <f t="shared" si="9"/>
        <v>0</v>
      </c>
      <c r="AA59" s="169">
        <f t="shared" si="14"/>
        <v>0</v>
      </c>
      <c r="AB59" s="213" t="str">
        <f t="shared" si="15"/>
        <v/>
      </c>
      <c r="AC59" s="191">
        <f t="shared" si="16"/>
        <v>0</v>
      </c>
      <c r="AD59" s="189">
        <f t="shared" si="17"/>
        <v>0</v>
      </c>
      <c r="AE59" s="192">
        <f t="shared" si="18"/>
        <v>0</v>
      </c>
      <c r="AF59" s="189">
        <f t="shared" si="10"/>
        <v>0</v>
      </c>
      <c r="AG59" s="193">
        <f t="shared" si="19"/>
        <v>0</v>
      </c>
      <c r="AH59" s="187">
        <f t="shared" si="20"/>
        <v>0</v>
      </c>
      <c r="AI59" s="193">
        <f t="shared" si="21"/>
        <v>0</v>
      </c>
      <c r="AJ59" s="187">
        <f t="shared" si="22"/>
        <v>0</v>
      </c>
      <c r="AK59" s="194">
        <f t="shared" si="11"/>
        <v>0</v>
      </c>
      <c r="AL59" s="156">
        <f t="shared" si="23"/>
        <v>0</v>
      </c>
      <c r="AM59" s="194">
        <f t="shared" si="12"/>
        <v>0</v>
      </c>
      <c r="AN59" s="156">
        <f t="shared" si="24"/>
        <v>0</v>
      </c>
      <c r="AO59" s="208">
        <f t="shared" si="25"/>
        <v>0</v>
      </c>
      <c r="AP59" s="209">
        <f t="shared" si="26"/>
        <v>0</v>
      </c>
      <c r="AQ59" s="208">
        <f t="shared" si="27"/>
        <v>0</v>
      </c>
      <c r="AR59" s="209">
        <f t="shared" si="28"/>
        <v>0</v>
      </c>
      <c r="AS59" s="211">
        <f t="shared" si="29"/>
        <v>0</v>
      </c>
      <c r="AT59" s="212">
        <f t="shared" si="30"/>
        <v>0</v>
      </c>
      <c r="AU59" s="157">
        <f t="shared" si="31"/>
        <v>0</v>
      </c>
      <c r="AV59" s="210" t="e">
        <f ca="1">_xlfn.IFNA(AM59 * AX59 * INDEX(INDIRECT("avoidedCost[" &amp; $T$6 &amp; "_$/kW]"), MATCH(AT59, avoidedCost[Measure Year], 0)) +
AQ59 * AY59 * INDEX(INDIRECT("avoidedCost[" &amp; $T$6 &amp; "_$/kWh]"), MATCH(AT59, avoidedCost[Measure Year], 0)), 0)</f>
        <v>#REF!</v>
      </c>
      <c r="AW59" s="210" t="e">
        <f ca="1">_xlfn.IFNA(AN59 * AX59 * (INDEX(INDIRECT("avoidedCost[" &amp; $T$6 &amp; "_$/kW]"), MATCH(AS59, avoidedCost[Measure Year], 0)) - INDEX(INDIRECT("avoidedCost[" &amp; $T$6 &amp; "_$/kW]"), MATCH(AT59, avoidedCost[Measure Year], 0))) +
AR59 * AY59 * (INDEX(INDIRECT("avoidedCost[" &amp; $T$6 &amp; "_$/kWh]"), MATCH(AS59, avoidedCost[Measure Year], 0)) - INDEX(INDIRECT("avoidedCost[" &amp; $T$6 &amp; "_$/kWh]"), MATCH(AT59, avoidedCost[Measure Year], 0))), 0)</f>
        <v>#REF!</v>
      </c>
      <c r="AX59" s="175">
        <f>IF('Lighting Input'!E59='Lookup Tables'!$G$3, INDEX('Lookup Tables'!$G$5:$J$15, MATCH('Lighting Input'!$C$10, 'Lookup Tables'!$F$5:$F$15,0),1), IF('Lighting Input'!E59='Lookup Tables'!$I$3, INDEX('Lookup Tables'!$I$5:$J$15, MATCH('Lighting Input'!$C$10, 'Lookup Tables'!$F$5:$F$15,0),1), 1))</f>
        <v>1</v>
      </c>
      <c r="AY59" s="175">
        <f>IF('Lighting Input'!E59='Lookup Tables'!$G$3, INDEX('Lookup Tables'!$G$5:$J$15, MATCH('Lighting Input'!$C$10, 'Lookup Tables'!$F$5:$F$15,0),2), IF('Lighting Input'!E59='Lookup Tables'!$I$3, INDEX('Lookup Tables'!$I$5:$J$15, MATCH('Lighting Input'!$C$10, 'Lookup Tables'!$F$5:$F$15,0),2), 1))</f>
        <v>1</v>
      </c>
    </row>
    <row r="60" spans="1:51" x14ac:dyDescent="0.2">
      <c r="A60" s="16">
        <v>7</v>
      </c>
      <c r="B60" s="173"/>
      <c r="C60" s="247"/>
      <c r="D60" s="249"/>
      <c r="E60" s="256">
        <f t="shared" si="13"/>
        <v>0</v>
      </c>
      <c r="F60" s="257"/>
      <c r="G60" s="247"/>
      <c r="H60" s="249"/>
      <c r="I60" s="247"/>
      <c r="J60" s="248"/>
      <c r="K60" s="248"/>
      <c r="L60" s="249"/>
      <c r="M60" s="13"/>
      <c r="N60" s="13"/>
      <c r="O60" s="13"/>
      <c r="P60" s="14"/>
      <c r="Q60" s="13"/>
      <c r="R60" s="14"/>
      <c r="S60" s="14"/>
      <c r="T60" s="14"/>
      <c r="U60" s="14"/>
      <c r="V60" s="136">
        <f t="shared" si="5"/>
        <v>0</v>
      </c>
      <c r="W60" s="163">
        <f t="shared" si="6"/>
        <v>0</v>
      </c>
      <c r="X60" s="163">
        <f t="shared" si="7"/>
        <v>0</v>
      </c>
      <c r="Y60" s="166">
        <f t="shared" si="8"/>
        <v>0</v>
      </c>
      <c r="Z60" s="162">
        <f t="shared" si="9"/>
        <v>0</v>
      </c>
      <c r="AA60" s="169">
        <f t="shared" si="14"/>
        <v>0</v>
      </c>
      <c r="AB60" s="213" t="str">
        <f t="shared" si="15"/>
        <v/>
      </c>
      <c r="AC60" s="191">
        <f t="shared" si="16"/>
        <v>0</v>
      </c>
      <c r="AD60" s="189">
        <f t="shared" si="17"/>
        <v>0</v>
      </c>
      <c r="AE60" s="192">
        <f t="shared" si="18"/>
        <v>0</v>
      </c>
      <c r="AF60" s="189">
        <f t="shared" si="10"/>
        <v>0</v>
      </c>
      <c r="AG60" s="193">
        <f t="shared" si="19"/>
        <v>0</v>
      </c>
      <c r="AH60" s="187">
        <f t="shared" si="20"/>
        <v>0</v>
      </c>
      <c r="AI60" s="193">
        <f t="shared" si="21"/>
        <v>0</v>
      </c>
      <c r="AJ60" s="187">
        <f t="shared" si="22"/>
        <v>0</v>
      </c>
      <c r="AK60" s="194">
        <f t="shared" si="11"/>
        <v>0</v>
      </c>
      <c r="AL60" s="156">
        <f t="shared" si="23"/>
        <v>0</v>
      </c>
      <c r="AM60" s="194">
        <f t="shared" si="12"/>
        <v>0</v>
      </c>
      <c r="AN60" s="156">
        <f t="shared" si="24"/>
        <v>0</v>
      </c>
      <c r="AO60" s="208">
        <f t="shared" si="25"/>
        <v>0</v>
      </c>
      <c r="AP60" s="209">
        <f t="shared" si="26"/>
        <v>0</v>
      </c>
      <c r="AQ60" s="208">
        <f t="shared" si="27"/>
        <v>0</v>
      </c>
      <c r="AR60" s="209">
        <f t="shared" si="28"/>
        <v>0</v>
      </c>
      <c r="AS60" s="211">
        <f t="shared" si="29"/>
        <v>0</v>
      </c>
      <c r="AT60" s="212">
        <f t="shared" si="30"/>
        <v>0</v>
      </c>
      <c r="AU60" s="157">
        <f t="shared" si="31"/>
        <v>0</v>
      </c>
      <c r="AV60" s="210" t="e">
        <f ca="1">_xlfn.IFNA(AM60 * AX60 * INDEX(INDIRECT("avoidedCost[" &amp; $T$6 &amp; "_$/kW]"), MATCH(AT60, avoidedCost[Measure Year], 0)) +
AQ60 * AY60 * INDEX(INDIRECT("avoidedCost[" &amp; $T$6 &amp; "_$/kWh]"), MATCH(AT60, avoidedCost[Measure Year], 0)), 0)</f>
        <v>#REF!</v>
      </c>
      <c r="AW60" s="210" t="e">
        <f ca="1">_xlfn.IFNA(AN60 * AX60 * (INDEX(INDIRECT("avoidedCost[" &amp; $T$6 &amp; "_$/kW]"), MATCH(AS60, avoidedCost[Measure Year], 0)) - INDEX(INDIRECT("avoidedCost[" &amp; $T$6 &amp; "_$/kW]"), MATCH(AT60, avoidedCost[Measure Year], 0))) +
AR60 * AY60 * (INDEX(INDIRECT("avoidedCost[" &amp; $T$6 &amp; "_$/kWh]"), MATCH(AS60, avoidedCost[Measure Year], 0)) - INDEX(INDIRECT("avoidedCost[" &amp; $T$6 &amp; "_$/kWh]"), MATCH(AT60, avoidedCost[Measure Year], 0))), 0)</f>
        <v>#REF!</v>
      </c>
      <c r="AX60" s="175">
        <f>IF('Lighting Input'!E60='Lookup Tables'!$G$3, INDEX('Lookup Tables'!$G$5:$J$15, MATCH('Lighting Input'!$C$10, 'Lookup Tables'!$F$5:$F$15,0),1), IF('Lighting Input'!E60='Lookup Tables'!$I$3, INDEX('Lookup Tables'!$I$5:$J$15, MATCH('Lighting Input'!$C$10, 'Lookup Tables'!$F$5:$F$15,0),1), 1))</f>
        <v>1</v>
      </c>
      <c r="AY60" s="175">
        <f>IF('Lighting Input'!E60='Lookup Tables'!$G$3, INDEX('Lookup Tables'!$G$5:$J$15, MATCH('Lighting Input'!$C$10, 'Lookup Tables'!$F$5:$F$15,0),2), IF('Lighting Input'!E60='Lookup Tables'!$I$3, INDEX('Lookup Tables'!$I$5:$J$15, MATCH('Lighting Input'!$C$10, 'Lookup Tables'!$F$5:$F$15,0),2), 1))</f>
        <v>1</v>
      </c>
    </row>
    <row r="61" spans="1:51" x14ac:dyDescent="0.2">
      <c r="A61" s="16">
        <v>8</v>
      </c>
      <c r="B61" s="173"/>
      <c r="C61" s="277"/>
      <c r="D61" s="277"/>
      <c r="E61" s="256">
        <f t="shared" si="13"/>
        <v>0</v>
      </c>
      <c r="F61" s="257"/>
      <c r="G61" s="247"/>
      <c r="H61" s="249"/>
      <c r="I61" s="247"/>
      <c r="J61" s="248"/>
      <c r="K61" s="248"/>
      <c r="L61" s="249"/>
      <c r="M61" s="13"/>
      <c r="N61" s="13"/>
      <c r="O61" s="13"/>
      <c r="P61" s="14"/>
      <c r="Q61" s="13"/>
      <c r="R61" s="14"/>
      <c r="S61" s="14"/>
      <c r="T61" s="14"/>
      <c r="U61" s="14"/>
      <c r="V61" s="136">
        <f t="shared" si="5"/>
        <v>0</v>
      </c>
      <c r="W61" s="163">
        <f t="shared" si="6"/>
        <v>0</v>
      </c>
      <c r="X61" s="163">
        <f t="shared" si="7"/>
        <v>0</v>
      </c>
      <c r="Y61" s="166">
        <f t="shared" si="8"/>
        <v>0</v>
      </c>
      <c r="Z61" s="162">
        <f t="shared" si="9"/>
        <v>0</v>
      </c>
      <c r="AA61" s="169">
        <f t="shared" si="14"/>
        <v>0</v>
      </c>
      <c r="AB61" s="213" t="str">
        <f t="shared" si="15"/>
        <v/>
      </c>
      <c r="AC61" s="191">
        <f t="shared" si="16"/>
        <v>0</v>
      </c>
      <c r="AD61" s="189">
        <f t="shared" si="17"/>
        <v>0</v>
      </c>
      <c r="AE61" s="192">
        <f t="shared" si="18"/>
        <v>0</v>
      </c>
      <c r="AF61" s="189">
        <f t="shared" si="10"/>
        <v>0</v>
      </c>
      <c r="AG61" s="193">
        <f t="shared" si="19"/>
        <v>0</v>
      </c>
      <c r="AH61" s="187">
        <f t="shared" si="20"/>
        <v>0</v>
      </c>
      <c r="AI61" s="193">
        <f t="shared" si="21"/>
        <v>0</v>
      </c>
      <c r="AJ61" s="187">
        <f t="shared" si="22"/>
        <v>0</v>
      </c>
      <c r="AK61" s="194">
        <f t="shared" si="11"/>
        <v>0</v>
      </c>
      <c r="AL61" s="156">
        <f t="shared" si="23"/>
        <v>0</v>
      </c>
      <c r="AM61" s="194">
        <f t="shared" si="12"/>
        <v>0</v>
      </c>
      <c r="AN61" s="156">
        <f t="shared" si="24"/>
        <v>0</v>
      </c>
      <c r="AO61" s="208">
        <f t="shared" si="25"/>
        <v>0</v>
      </c>
      <c r="AP61" s="209">
        <f t="shared" si="26"/>
        <v>0</v>
      </c>
      <c r="AQ61" s="208">
        <f t="shared" si="27"/>
        <v>0</v>
      </c>
      <c r="AR61" s="209">
        <f t="shared" si="28"/>
        <v>0</v>
      </c>
      <c r="AS61" s="211">
        <f t="shared" si="29"/>
        <v>0</v>
      </c>
      <c r="AT61" s="212">
        <f t="shared" si="30"/>
        <v>0</v>
      </c>
      <c r="AU61" s="157">
        <f t="shared" si="31"/>
        <v>0</v>
      </c>
      <c r="AV61" s="210" t="e">
        <f ca="1">_xlfn.IFNA(AM61 * AX61 * INDEX(INDIRECT("avoidedCost[" &amp; $T$6 &amp; "_$/kW]"), MATCH(AT61, avoidedCost[Measure Year], 0)) +
AQ61 * AY61 * INDEX(INDIRECT("avoidedCost[" &amp; $T$6 &amp; "_$/kWh]"), MATCH(AT61, avoidedCost[Measure Year], 0)), 0)</f>
        <v>#REF!</v>
      </c>
      <c r="AW61" s="210" t="e">
        <f ca="1">_xlfn.IFNA(AN61 * AX61 * (INDEX(INDIRECT("avoidedCost[" &amp; $T$6 &amp; "_$/kW]"), MATCH(AS61, avoidedCost[Measure Year], 0)) - INDEX(INDIRECT("avoidedCost[" &amp; $T$6 &amp; "_$/kW]"), MATCH(AT61, avoidedCost[Measure Year], 0))) +
AR61 * AY61 * (INDEX(INDIRECT("avoidedCost[" &amp; $T$6 &amp; "_$/kWh]"), MATCH(AS61, avoidedCost[Measure Year], 0)) - INDEX(INDIRECT("avoidedCost[" &amp; $T$6 &amp; "_$/kWh]"), MATCH(AT61, avoidedCost[Measure Year], 0))), 0)</f>
        <v>#REF!</v>
      </c>
      <c r="AX61" s="175">
        <f>IF('Lighting Input'!E61='Lookup Tables'!$G$3, INDEX('Lookup Tables'!$G$5:$J$15, MATCH('Lighting Input'!$C$10, 'Lookup Tables'!$F$5:$F$15,0),1), IF('Lighting Input'!E61='Lookup Tables'!$I$3, INDEX('Lookup Tables'!$I$5:$J$15, MATCH('Lighting Input'!$C$10, 'Lookup Tables'!$F$5:$F$15,0),1), 1))</f>
        <v>1</v>
      </c>
      <c r="AY61" s="175">
        <f>IF('Lighting Input'!E61='Lookup Tables'!$G$3, INDEX('Lookup Tables'!$G$5:$J$15, MATCH('Lighting Input'!$C$10, 'Lookup Tables'!$F$5:$F$15,0),2), IF('Lighting Input'!E61='Lookup Tables'!$I$3, INDEX('Lookup Tables'!$I$5:$J$15, MATCH('Lighting Input'!$C$10, 'Lookup Tables'!$F$5:$F$15,0),2), 1))</f>
        <v>1</v>
      </c>
    </row>
    <row r="62" spans="1:51" x14ac:dyDescent="0.2">
      <c r="A62" s="16">
        <v>9</v>
      </c>
      <c r="B62" s="173"/>
      <c r="C62" s="277"/>
      <c r="D62" s="277"/>
      <c r="E62" s="256">
        <f t="shared" si="13"/>
        <v>0</v>
      </c>
      <c r="F62" s="257"/>
      <c r="G62" s="247"/>
      <c r="H62" s="249"/>
      <c r="I62" s="247"/>
      <c r="J62" s="248"/>
      <c r="K62" s="248"/>
      <c r="L62" s="249"/>
      <c r="M62" s="13"/>
      <c r="N62" s="13"/>
      <c r="O62" s="13"/>
      <c r="P62" s="14"/>
      <c r="Q62" s="13"/>
      <c r="R62" s="14"/>
      <c r="S62" s="14"/>
      <c r="T62" s="14"/>
      <c r="U62" s="14"/>
      <c r="V62" s="136">
        <f t="shared" si="5"/>
        <v>0</v>
      </c>
      <c r="W62" s="163">
        <f t="shared" si="6"/>
        <v>0</v>
      </c>
      <c r="X62" s="163">
        <f t="shared" si="7"/>
        <v>0</v>
      </c>
      <c r="Y62" s="166">
        <f t="shared" si="8"/>
        <v>0</v>
      </c>
      <c r="Z62" s="162">
        <f t="shared" si="9"/>
        <v>0</v>
      </c>
      <c r="AA62" s="169">
        <f t="shared" si="14"/>
        <v>0</v>
      </c>
      <c r="AB62" s="213" t="str">
        <f t="shared" si="15"/>
        <v/>
      </c>
      <c r="AC62" s="191">
        <f t="shared" si="16"/>
        <v>0</v>
      </c>
      <c r="AD62" s="189">
        <f t="shared" si="17"/>
        <v>0</v>
      </c>
      <c r="AE62" s="192">
        <f t="shared" si="18"/>
        <v>0</v>
      </c>
      <c r="AF62" s="189">
        <f t="shared" si="10"/>
        <v>0</v>
      </c>
      <c r="AG62" s="193">
        <f t="shared" si="19"/>
        <v>0</v>
      </c>
      <c r="AH62" s="187">
        <f t="shared" si="20"/>
        <v>0</v>
      </c>
      <c r="AI62" s="193">
        <f t="shared" si="21"/>
        <v>0</v>
      </c>
      <c r="AJ62" s="187">
        <f t="shared" si="22"/>
        <v>0</v>
      </c>
      <c r="AK62" s="194">
        <f t="shared" si="11"/>
        <v>0</v>
      </c>
      <c r="AL62" s="156">
        <f t="shared" si="23"/>
        <v>0</v>
      </c>
      <c r="AM62" s="194">
        <f t="shared" si="12"/>
        <v>0</v>
      </c>
      <c r="AN62" s="156">
        <f t="shared" si="24"/>
        <v>0</v>
      </c>
      <c r="AO62" s="208">
        <f t="shared" si="25"/>
        <v>0</v>
      </c>
      <c r="AP62" s="209">
        <f t="shared" si="26"/>
        <v>0</v>
      </c>
      <c r="AQ62" s="208">
        <f t="shared" si="27"/>
        <v>0</v>
      </c>
      <c r="AR62" s="209">
        <f t="shared" si="28"/>
        <v>0</v>
      </c>
      <c r="AS62" s="211">
        <f t="shared" si="29"/>
        <v>0</v>
      </c>
      <c r="AT62" s="212">
        <f t="shared" si="30"/>
        <v>0</v>
      </c>
      <c r="AU62" s="157">
        <f t="shared" si="31"/>
        <v>0</v>
      </c>
      <c r="AV62" s="210" t="e">
        <f ca="1">_xlfn.IFNA(AM62 * AX62 * INDEX(INDIRECT("avoidedCost[" &amp; $T$6 &amp; "_$/kW]"), MATCH(AT62, avoidedCost[Measure Year], 0)) +
AQ62 * AY62 * INDEX(INDIRECT("avoidedCost[" &amp; $T$6 &amp; "_$/kWh]"), MATCH(AT62, avoidedCost[Measure Year], 0)), 0)</f>
        <v>#REF!</v>
      </c>
      <c r="AW62" s="210" t="e">
        <f ca="1">_xlfn.IFNA(AN62 * AX62 * (INDEX(INDIRECT("avoidedCost[" &amp; $T$6 &amp; "_$/kW]"), MATCH(AS62, avoidedCost[Measure Year], 0)) - INDEX(INDIRECT("avoidedCost[" &amp; $T$6 &amp; "_$/kW]"), MATCH(AT62, avoidedCost[Measure Year], 0))) +
AR62 * AY62 * (INDEX(INDIRECT("avoidedCost[" &amp; $T$6 &amp; "_$/kWh]"), MATCH(AS62, avoidedCost[Measure Year], 0)) - INDEX(INDIRECT("avoidedCost[" &amp; $T$6 &amp; "_$/kWh]"), MATCH(AT62, avoidedCost[Measure Year], 0))), 0)</f>
        <v>#REF!</v>
      </c>
      <c r="AX62" s="175">
        <f>IF('Lighting Input'!E62='Lookup Tables'!$G$3, INDEX('Lookup Tables'!$G$5:$J$15, MATCH('Lighting Input'!$C$10, 'Lookup Tables'!$F$5:$F$15,0),1), IF('Lighting Input'!E62='Lookup Tables'!$I$3, INDEX('Lookup Tables'!$I$5:$J$15, MATCH('Lighting Input'!$C$10, 'Lookup Tables'!$F$5:$F$15,0),1), 1))</f>
        <v>1</v>
      </c>
      <c r="AY62" s="175">
        <f>IF('Lighting Input'!E62='Lookup Tables'!$G$3, INDEX('Lookup Tables'!$G$5:$J$15, MATCH('Lighting Input'!$C$10, 'Lookup Tables'!$F$5:$F$15,0),2), IF('Lighting Input'!E62='Lookup Tables'!$I$3, INDEX('Lookup Tables'!$I$5:$J$15, MATCH('Lighting Input'!$C$10, 'Lookup Tables'!$F$5:$F$15,0),2), 1))</f>
        <v>1</v>
      </c>
    </row>
    <row r="63" spans="1:51" x14ac:dyDescent="0.2">
      <c r="A63" s="16">
        <v>10</v>
      </c>
      <c r="B63" s="173"/>
      <c r="C63" s="277"/>
      <c r="D63" s="277"/>
      <c r="E63" s="256">
        <f t="shared" si="13"/>
        <v>0</v>
      </c>
      <c r="F63" s="257"/>
      <c r="G63" s="247"/>
      <c r="H63" s="249"/>
      <c r="I63" s="247"/>
      <c r="J63" s="248"/>
      <c r="K63" s="248"/>
      <c r="L63" s="249"/>
      <c r="M63" s="13"/>
      <c r="N63" s="13"/>
      <c r="O63" s="13"/>
      <c r="P63" s="14"/>
      <c r="Q63" s="13"/>
      <c r="R63" s="14"/>
      <c r="S63" s="14"/>
      <c r="T63" s="14"/>
      <c r="U63" s="14"/>
      <c r="V63" s="136">
        <f t="shared" si="5"/>
        <v>0</v>
      </c>
      <c r="W63" s="163">
        <f t="shared" si="6"/>
        <v>0</v>
      </c>
      <c r="X63" s="163">
        <f t="shared" si="7"/>
        <v>0</v>
      </c>
      <c r="Y63" s="166">
        <f t="shared" si="8"/>
        <v>0</v>
      </c>
      <c r="Z63" s="162">
        <f t="shared" si="9"/>
        <v>0</v>
      </c>
      <c r="AA63" s="169">
        <f t="shared" si="14"/>
        <v>0</v>
      </c>
      <c r="AB63" s="213" t="str">
        <f t="shared" si="15"/>
        <v/>
      </c>
      <c r="AC63" s="191">
        <f t="shared" si="16"/>
        <v>0</v>
      </c>
      <c r="AD63" s="189">
        <f t="shared" si="17"/>
        <v>0</v>
      </c>
      <c r="AE63" s="192">
        <f t="shared" si="18"/>
        <v>0</v>
      </c>
      <c r="AF63" s="189">
        <f t="shared" si="10"/>
        <v>0</v>
      </c>
      <c r="AG63" s="193">
        <f t="shared" si="19"/>
        <v>0</v>
      </c>
      <c r="AH63" s="187">
        <f t="shared" si="20"/>
        <v>0</v>
      </c>
      <c r="AI63" s="193">
        <f t="shared" si="21"/>
        <v>0</v>
      </c>
      <c r="AJ63" s="187">
        <f t="shared" si="22"/>
        <v>0</v>
      </c>
      <c r="AK63" s="194">
        <f t="shared" si="11"/>
        <v>0</v>
      </c>
      <c r="AL63" s="156">
        <f t="shared" si="23"/>
        <v>0</v>
      </c>
      <c r="AM63" s="194">
        <f t="shared" si="12"/>
        <v>0</v>
      </c>
      <c r="AN63" s="156">
        <f t="shared" si="24"/>
        <v>0</v>
      </c>
      <c r="AO63" s="208">
        <f t="shared" si="25"/>
        <v>0</v>
      </c>
      <c r="AP63" s="209">
        <f t="shared" si="26"/>
        <v>0</v>
      </c>
      <c r="AQ63" s="208">
        <f t="shared" si="27"/>
        <v>0</v>
      </c>
      <c r="AR63" s="209">
        <f t="shared" si="28"/>
        <v>0</v>
      </c>
      <c r="AS63" s="211">
        <f t="shared" si="29"/>
        <v>0</v>
      </c>
      <c r="AT63" s="212">
        <f t="shared" si="30"/>
        <v>0</v>
      </c>
      <c r="AU63" s="157">
        <f t="shared" si="31"/>
        <v>0</v>
      </c>
      <c r="AV63" s="210" t="e">
        <f ca="1">_xlfn.IFNA(AM63 * AX63 * INDEX(INDIRECT("avoidedCost[" &amp; $T$6 &amp; "_$/kW]"), MATCH(AT63, avoidedCost[Measure Year], 0)) +
AQ63 * AY63 * INDEX(INDIRECT("avoidedCost[" &amp; $T$6 &amp; "_$/kWh]"), MATCH(AT63, avoidedCost[Measure Year], 0)), 0)</f>
        <v>#REF!</v>
      </c>
      <c r="AW63" s="210" t="e">
        <f ca="1">_xlfn.IFNA(AN63 * AX63 * (INDEX(INDIRECT("avoidedCost[" &amp; $T$6 &amp; "_$/kW]"), MATCH(AS63, avoidedCost[Measure Year], 0)) - INDEX(INDIRECT("avoidedCost[" &amp; $T$6 &amp; "_$/kW]"), MATCH(AT63, avoidedCost[Measure Year], 0))) +
AR63 * AY63 * (INDEX(INDIRECT("avoidedCost[" &amp; $T$6 &amp; "_$/kWh]"), MATCH(AS63, avoidedCost[Measure Year], 0)) - INDEX(INDIRECT("avoidedCost[" &amp; $T$6 &amp; "_$/kWh]"), MATCH(AT63, avoidedCost[Measure Year], 0))), 0)</f>
        <v>#REF!</v>
      </c>
      <c r="AX63" s="175">
        <f>IF('Lighting Input'!E63='Lookup Tables'!$G$3, INDEX('Lookup Tables'!$G$5:$J$15, MATCH('Lighting Input'!$C$10, 'Lookup Tables'!$F$5:$F$15,0),1), IF('Lighting Input'!E63='Lookup Tables'!$I$3, INDEX('Lookup Tables'!$I$5:$J$15, MATCH('Lighting Input'!$C$10, 'Lookup Tables'!$F$5:$F$15,0),1), 1))</f>
        <v>1</v>
      </c>
      <c r="AY63" s="175">
        <f>IF('Lighting Input'!E63='Lookup Tables'!$G$3, INDEX('Lookup Tables'!$G$5:$J$15, MATCH('Lighting Input'!$C$10, 'Lookup Tables'!$F$5:$F$15,0),2), IF('Lighting Input'!E63='Lookup Tables'!$I$3, INDEX('Lookup Tables'!$I$5:$J$15, MATCH('Lighting Input'!$C$10, 'Lookup Tables'!$F$5:$F$15,0),2), 1))</f>
        <v>1</v>
      </c>
    </row>
    <row r="64" spans="1:51" x14ac:dyDescent="0.2">
      <c r="A64" s="16">
        <v>11</v>
      </c>
      <c r="B64" s="173"/>
      <c r="C64" s="277"/>
      <c r="D64" s="277"/>
      <c r="E64" s="256">
        <f t="shared" si="13"/>
        <v>0</v>
      </c>
      <c r="F64" s="257"/>
      <c r="G64" s="247"/>
      <c r="H64" s="249"/>
      <c r="I64" s="247"/>
      <c r="J64" s="248"/>
      <c r="K64" s="248"/>
      <c r="L64" s="249"/>
      <c r="M64" s="13"/>
      <c r="N64" s="13"/>
      <c r="O64" s="13"/>
      <c r="P64" s="14"/>
      <c r="Q64" s="13"/>
      <c r="R64" s="14"/>
      <c r="S64" s="14"/>
      <c r="T64" s="14"/>
      <c r="U64" s="14"/>
      <c r="V64" s="136">
        <f t="shared" si="5"/>
        <v>0</v>
      </c>
      <c r="W64" s="163">
        <f t="shared" si="6"/>
        <v>0</v>
      </c>
      <c r="X64" s="163">
        <f t="shared" si="7"/>
        <v>0</v>
      </c>
      <c r="Y64" s="166">
        <f t="shared" si="8"/>
        <v>0</v>
      </c>
      <c r="Z64" s="162">
        <f t="shared" si="9"/>
        <v>0</v>
      </c>
      <c r="AA64" s="169">
        <f t="shared" si="14"/>
        <v>0</v>
      </c>
      <c r="AB64" s="213" t="str">
        <f t="shared" si="15"/>
        <v/>
      </c>
      <c r="AC64" s="191">
        <f t="shared" si="16"/>
        <v>0</v>
      </c>
      <c r="AD64" s="189">
        <f t="shared" si="17"/>
        <v>0</v>
      </c>
      <c r="AE64" s="192">
        <f t="shared" si="18"/>
        <v>0</v>
      </c>
      <c r="AF64" s="189">
        <f t="shared" si="10"/>
        <v>0</v>
      </c>
      <c r="AG64" s="193">
        <f t="shared" si="19"/>
        <v>0</v>
      </c>
      <c r="AH64" s="187">
        <f t="shared" si="20"/>
        <v>0</v>
      </c>
      <c r="AI64" s="193">
        <f t="shared" si="21"/>
        <v>0</v>
      </c>
      <c r="AJ64" s="187">
        <f t="shared" si="22"/>
        <v>0</v>
      </c>
      <c r="AK64" s="194">
        <f t="shared" si="11"/>
        <v>0</v>
      </c>
      <c r="AL64" s="156">
        <f t="shared" si="23"/>
        <v>0</v>
      </c>
      <c r="AM64" s="194">
        <f t="shared" si="12"/>
        <v>0</v>
      </c>
      <c r="AN64" s="156">
        <f t="shared" si="24"/>
        <v>0</v>
      </c>
      <c r="AO64" s="208">
        <f t="shared" si="25"/>
        <v>0</v>
      </c>
      <c r="AP64" s="209">
        <f t="shared" si="26"/>
        <v>0</v>
      </c>
      <c r="AQ64" s="208">
        <f t="shared" si="27"/>
        <v>0</v>
      </c>
      <c r="AR64" s="209">
        <f t="shared" si="28"/>
        <v>0</v>
      </c>
      <c r="AS64" s="211">
        <f t="shared" si="29"/>
        <v>0</v>
      </c>
      <c r="AT64" s="212">
        <f t="shared" si="30"/>
        <v>0</v>
      </c>
      <c r="AU64" s="157">
        <f t="shared" si="31"/>
        <v>0</v>
      </c>
      <c r="AV64" s="210" t="e">
        <f ca="1">_xlfn.IFNA(AM64 * AX64 * INDEX(INDIRECT("avoidedCost[" &amp; $T$6 &amp; "_$/kW]"), MATCH(AT64, avoidedCost[Measure Year], 0)) +
AQ64 * AY64 * INDEX(INDIRECT("avoidedCost[" &amp; $T$6 &amp; "_$/kWh]"), MATCH(AT64, avoidedCost[Measure Year], 0)), 0)</f>
        <v>#REF!</v>
      </c>
      <c r="AW64" s="210" t="e">
        <f ca="1">_xlfn.IFNA(AN64 * AX64 * (INDEX(INDIRECT("avoidedCost[" &amp; $T$6 &amp; "_$/kW]"), MATCH(AS64, avoidedCost[Measure Year], 0)) - INDEX(INDIRECT("avoidedCost[" &amp; $T$6 &amp; "_$/kW]"), MATCH(AT64, avoidedCost[Measure Year], 0))) +
AR64 * AY64 * (INDEX(INDIRECT("avoidedCost[" &amp; $T$6 &amp; "_$/kWh]"), MATCH(AS64, avoidedCost[Measure Year], 0)) - INDEX(INDIRECT("avoidedCost[" &amp; $T$6 &amp; "_$/kWh]"), MATCH(AT64, avoidedCost[Measure Year], 0))), 0)</f>
        <v>#REF!</v>
      </c>
      <c r="AX64" s="175">
        <f>IF('Lighting Input'!E64='Lookup Tables'!$G$3, INDEX('Lookup Tables'!$G$5:$J$15, MATCH('Lighting Input'!$C$10, 'Lookup Tables'!$F$5:$F$15,0),1), IF('Lighting Input'!E64='Lookup Tables'!$I$3, INDEX('Lookup Tables'!$I$5:$J$15, MATCH('Lighting Input'!$C$10, 'Lookup Tables'!$F$5:$F$15,0),1), 1))</f>
        <v>1</v>
      </c>
      <c r="AY64" s="175">
        <f>IF('Lighting Input'!E64='Lookup Tables'!$G$3, INDEX('Lookup Tables'!$G$5:$J$15, MATCH('Lighting Input'!$C$10, 'Lookup Tables'!$F$5:$F$15,0),2), IF('Lighting Input'!E64='Lookup Tables'!$I$3, INDEX('Lookup Tables'!$I$5:$J$15, MATCH('Lighting Input'!$C$10, 'Lookup Tables'!$F$5:$F$15,0),2), 1))</f>
        <v>1</v>
      </c>
    </row>
    <row r="65" spans="1:51" x14ac:dyDescent="0.2">
      <c r="A65" s="16">
        <v>12</v>
      </c>
      <c r="B65" s="173"/>
      <c r="C65" s="277"/>
      <c r="D65" s="277"/>
      <c r="E65" s="256">
        <f t="shared" si="13"/>
        <v>0</v>
      </c>
      <c r="F65" s="257"/>
      <c r="G65" s="247"/>
      <c r="H65" s="249"/>
      <c r="I65" s="247"/>
      <c r="J65" s="248"/>
      <c r="K65" s="248"/>
      <c r="L65" s="249"/>
      <c r="M65" s="13"/>
      <c r="N65" s="13"/>
      <c r="O65" s="13"/>
      <c r="P65" s="14"/>
      <c r="Q65" s="13"/>
      <c r="R65" s="14"/>
      <c r="S65" s="14"/>
      <c r="T65" s="14"/>
      <c r="U65" s="14"/>
      <c r="V65" s="136">
        <f t="shared" si="5"/>
        <v>0</v>
      </c>
      <c r="W65" s="163">
        <f t="shared" si="6"/>
        <v>0</v>
      </c>
      <c r="X65" s="163">
        <f t="shared" si="7"/>
        <v>0</v>
      </c>
      <c r="Y65" s="166">
        <f t="shared" si="8"/>
        <v>0</v>
      </c>
      <c r="Z65" s="162">
        <f t="shared" si="9"/>
        <v>0</v>
      </c>
      <c r="AA65" s="169">
        <f t="shared" si="14"/>
        <v>0</v>
      </c>
      <c r="AB65" s="213" t="str">
        <f t="shared" si="15"/>
        <v/>
      </c>
      <c r="AC65" s="191">
        <f t="shared" si="16"/>
        <v>0</v>
      </c>
      <c r="AD65" s="189">
        <f t="shared" si="17"/>
        <v>0</v>
      </c>
      <c r="AE65" s="192">
        <f t="shared" si="18"/>
        <v>0</v>
      </c>
      <c r="AF65" s="189">
        <f t="shared" si="10"/>
        <v>0</v>
      </c>
      <c r="AG65" s="193">
        <f t="shared" si="19"/>
        <v>0</v>
      </c>
      <c r="AH65" s="187">
        <f t="shared" si="20"/>
        <v>0</v>
      </c>
      <c r="AI65" s="193">
        <f t="shared" si="21"/>
        <v>0</v>
      </c>
      <c r="AJ65" s="187">
        <f t="shared" si="22"/>
        <v>0</v>
      </c>
      <c r="AK65" s="194">
        <f t="shared" si="11"/>
        <v>0</v>
      </c>
      <c r="AL65" s="156">
        <f t="shared" si="23"/>
        <v>0</v>
      </c>
      <c r="AM65" s="194">
        <f t="shared" si="12"/>
        <v>0</v>
      </c>
      <c r="AN65" s="156">
        <f t="shared" si="24"/>
        <v>0</v>
      </c>
      <c r="AO65" s="208">
        <f t="shared" si="25"/>
        <v>0</v>
      </c>
      <c r="AP65" s="209">
        <f t="shared" si="26"/>
        <v>0</v>
      </c>
      <c r="AQ65" s="208">
        <f t="shared" si="27"/>
        <v>0</v>
      </c>
      <c r="AR65" s="209">
        <f t="shared" si="28"/>
        <v>0</v>
      </c>
      <c r="AS65" s="211">
        <f t="shared" si="29"/>
        <v>0</v>
      </c>
      <c r="AT65" s="212">
        <f t="shared" si="30"/>
        <v>0</v>
      </c>
      <c r="AU65" s="157">
        <f t="shared" si="31"/>
        <v>0</v>
      </c>
      <c r="AV65" s="210" t="e">
        <f ca="1">_xlfn.IFNA(AM65 * AX65 * INDEX(INDIRECT("avoidedCost[" &amp; $T$6 &amp; "_$/kW]"), MATCH(AT65, avoidedCost[Measure Year], 0)) +
AQ65 * AY65 * INDEX(INDIRECT("avoidedCost[" &amp; $T$6 &amp; "_$/kWh]"), MATCH(AT65, avoidedCost[Measure Year], 0)), 0)</f>
        <v>#REF!</v>
      </c>
      <c r="AW65" s="210" t="e">
        <f ca="1">_xlfn.IFNA(AN65 * AX65 * (INDEX(INDIRECT("avoidedCost[" &amp; $T$6 &amp; "_$/kW]"), MATCH(AS65, avoidedCost[Measure Year], 0)) - INDEX(INDIRECT("avoidedCost[" &amp; $T$6 &amp; "_$/kW]"), MATCH(AT65, avoidedCost[Measure Year], 0))) +
AR65 * AY65 * (INDEX(INDIRECT("avoidedCost[" &amp; $T$6 &amp; "_$/kWh]"), MATCH(AS65, avoidedCost[Measure Year], 0)) - INDEX(INDIRECT("avoidedCost[" &amp; $T$6 &amp; "_$/kWh]"), MATCH(AT65, avoidedCost[Measure Year], 0))), 0)</f>
        <v>#REF!</v>
      </c>
      <c r="AX65" s="175">
        <f>IF('Lighting Input'!E65='Lookup Tables'!$G$3, INDEX('Lookup Tables'!$G$5:$J$15, MATCH('Lighting Input'!$C$10, 'Lookup Tables'!$F$5:$F$15,0),1), IF('Lighting Input'!E65='Lookup Tables'!$I$3, INDEX('Lookup Tables'!$I$5:$J$15, MATCH('Lighting Input'!$C$10, 'Lookup Tables'!$F$5:$F$15,0),1), 1))</f>
        <v>1</v>
      </c>
      <c r="AY65" s="175">
        <f>IF('Lighting Input'!E65='Lookup Tables'!$G$3, INDEX('Lookup Tables'!$G$5:$J$15, MATCH('Lighting Input'!$C$10, 'Lookup Tables'!$F$5:$F$15,0),2), IF('Lighting Input'!E65='Lookup Tables'!$I$3, INDEX('Lookup Tables'!$I$5:$J$15, MATCH('Lighting Input'!$C$10, 'Lookup Tables'!$F$5:$F$15,0),2), 1))</f>
        <v>1</v>
      </c>
    </row>
    <row r="66" spans="1:51" x14ac:dyDescent="0.2">
      <c r="A66" s="16">
        <v>13</v>
      </c>
      <c r="B66" s="173"/>
      <c r="C66" s="277"/>
      <c r="D66" s="277"/>
      <c r="E66" s="256">
        <f t="shared" si="13"/>
        <v>0</v>
      </c>
      <c r="F66" s="257"/>
      <c r="G66" s="247"/>
      <c r="H66" s="249"/>
      <c r="I66" s="247"/>
      <c r="J66" s="248"/>
      <c r="K66" s="248"/>
      <c r="L66" s="249"/>
      <c r="M66" s="13"/>
      <c r="N66" s="13"/>
      <c r="O66" s="13"/>
      <c r="P66" s="14"/>
      <c r="Q66" s="13"/>
      <c r="R66" s="14"/>
      <c r="S66" s="14"/>
      <c r="T66" s="14"/>
      <c r="U66" s="14"/>
      <c r="V66" s="136">
        <f t="shared" si="5"/>
        <v>0</v>
      </c>
      <c r="W66" s="163">
        <f t="shared" si="6"/>
        <v>0</v>
      </c>
      <c r="X66" s="163">
        <f t="shared" si="7"/>
        <v>0</v>
      </c>
      <c r="Y66" s="166">
        <f t="shared" si="8"/>
        <v>0</v>
      </c>
      <c r="Z66" s="162">
        <f t="shared" si="9"/>
        <v>0</v>
      </c>
      <c r="AA66" s="169">
        <f t="shared" si="14"/>
        <v>0</v>
      </c>
      <c r="AB66" s="213" t="str">
        <f t="shared" si="15"/>
        <v/>
      </c>
      <c r="AC66" s="191">
        <f t="shared" si="16"/>
        <v>0</v>
      </c>
      <c r="AD66" s="189">
        <f t="shared" si="17"/>
        <v>0</v>
      </c>
      <c r="AE66" s="192">
        <f t="shared" si="18"/>
        <v>0</v>
      </c>
      <c r="AF66" s="189">
        <f t="shared" si="10"/>
        <v>0</v>
      </c>
      <c r="AG66" s="193">
        <f t="shared" si="19"/>
        <v>0</v>
      </c>
      <c r="AH66" s="187">
        <f t="shared" si="20"/>
        <v>0</v>
      </c>
      <c r="AI66" s="193">
        <f t="shared" si="21"/>
        <v>0</v>
      </c>
      <c r="AJ66" s="187">
        <f t="shared" si="22"/>
        <v>0</v>
      </c>
      <c r="AK66" s="194">
        <f t="shared" si="11"/>
        <v>0</v>
      </c>
      <c r="AL66" s="156">
        <f t="shared" si="23"/>
        <v>0</v>
      </c>
      <c r="AM66" s="194">
        <f t="shared" si="12"/>
        <v>0</v>
      </c>
      <c r="AN66" s="156">
        <f t="shared" si="24"/>
        <v>0</v>
      </c>
      <c r="AO66" s="208">
        <f t="shared" si="25"/>
        <v>0</v>
      </c>
      <c r="AP66" s="209">
        <f t="shared" si="26"/>
        <v>0</v>
      </c>
      <c r="AQ66" s="208">
        <f t="shared" si="27"/>
        <v>0</v>
      </c>
      <c r="AR66" s="209">
        <f t="shared" si="28"/>
        <v>0</v>
      </c>
      <c r="AS66" s="211">
        <f t="shared" si="29"/>
        <v>0</v>
      </c>
      <c r="AT66" s="212">
        <f t="shared" si="30"/>
        <v>0</v>
      </c>
      <c r="AU66" s="157">
        <f t="shared" si="31"/>
        <v>0</v>
      </c>
      <c r="AV66" s="210" t="e">
        <f ca="1">_xlfn.IFNA(AM66 * AX66 * INDEX(INDIRECT("avoidedCost[" &amp; $T$6 &amp; "_$/kW]"), MATCH(AT66, avoidedCost[Measure Year], 0)) +
AQ66 * AY66 * INDEX(INDIRECT("avoidedCost[" &amp; $T$6 &amp; "_$/kWh]"), MATCH(AT66, avoidedCost[Measure Year], 0)), 0)</f>
        <v>#REF!</v>
      </c>
      <c r="AW66" s="210" t="e">
        <f ca="1">_xlfn.IFNA(AN66 * AX66 * (INDEX(INDIRECT("avoidedCost[" &amp; $T$6 &amp; "_$/kW]"), MATCH(AS66, avoidedCost[Measure Year], 0)) - INDEX(INDIRECT("avoidedCost[" &amp; $T$6 &amp; "_$/kW]"), MATCH(AT66, avoidedCost[Measure Year], 0))) +
AR66 * AY66 * (INDEX(INDIRECT("avoidedCost[" &amp; $T$6 &amp; "_$/kWh]"), MATCH(AS66, avoidedCost[Measure Year], 0)) - INDEX(INDIRECT("avoidedCost[" &amp; $T$6 &amp; "_$/kWh]"), MATCH(AT66, avoidedCost[Measure Year], 0))), 0)</f>
        <v>#REF!</v>
      </c>
      <c r="AX66" s="175">
        <f>IF('Lighting Input'!E66='Lookup Tables'!$G$3, INDEX('Lookup Tables'!$G$5:$J$15, MATCH('Lighting Input'!$C$10, 'Lookup Tables'!$F$5:$F$15,0),1), IF('Lighting Input'!E66='Lookup Tables'!$I$3, INDEX('Lookup Tables'!$I$5:$J$15, MATCH('Lighting Input'!$C$10, 'Lookup Tables'!$F$5:$F$15,0),1), 1))</f>
        <v>1</v>
      </c>
      <c r="AY66" s="175">
        <f>IF('Lighting Input'!E66='Lookup Tables'!$G$3, INDEX('Lookup Tables'!$G$5:$J$15, MATCH('Lighting Input'!$C$10, 'Lookup Tables'!$F$5:$F$15,0),2), IF('Lighting Input'!E66='Lookup Tables'!$I$3, INDEX('Lookup Tables'!$I$5:$J$15, MATCH('Lighting Input'!$C$10, 'Lookup Tables'!$F$5:$F$15,0),2), 1))</f>
        <v>1</v>
      </c>
    </row>
    <row r="67" spans="1:51" x14ac:dyDescent="0.2">
      <c r="A67" s="16">
        <v>14</v>
      </c>
      <c r="B67" s="173"/>
      <c r="C67" s="277"/>
      <c r="D67" s="277"/>
      <c r="E67" s="256">
        <f t="shared" si="13"/>
        <v>0</v>
      </c>
      <c r="F67" s="257"/>
      <c r="G67" s="247"/>
      <c r="H67" s="249"/>
      <c r="I67" s="247"/>
      <c r="J67" s="248"/>
      <c r="K67" s="248"/>
      <c r="L67" s="249"/>
      <c r="M67" s="13"/>
      <c r="N67" s="13"/>
      <c r="O67" s="13"/>
      <c r="P67" s="14"/>
      <c r="Q67" s="13"/>
      <c r="R67" s="14"/>
      <c r="S67" s="14"/>
      <c r="T67" s="14"/>
      <c r="U67" s="14"/>
      <c r="V67" s="136">
        <f t="shared" si="5"/>
        <v>0</v>
      </c>
      <c r="W67" s="163">
        <f t="shared" si="6"/>
        <v>0</v>
      </c>
      <c r="X67" s="163">
        <f t="shared" si="7"/>
        <v>0</v>
      </c>
      <c r="Y67" s="166">
        <f t="shared" si="8"/>
        <v>0</v>
      </c>
      <c r="Z67" s="162">
        <f t="shared" si="9"/>
        <v>0</v>
      </c>
      <c r="AA67" s="169">
        <f t="shared" si="14"/>
        <v>0</v>
      </c>
      <c r="AB67" s="213" t="str">
        <f t="shared" si="15"/>
        <v/>
      </c>
      <c r="AC67" s="191">
        <f t="shared" si="16"/>
        <v>0</v>
      </c>
      <c r="AD67" s="189">
        <f t="shared" si="17"/>
        <v>0</v>
      </c>
      <c r="AE67" s="192">
        <f t="shared" si="18"/>
        <v>0</v>
      </c>
      <c r="AF67" s="189">
        <f t="shared" si="10"/>
        <v>0</v>
      </c>
      <c r="AG67" s="193">
        <f t="shared" si="19"/>
        <v>0</v>
      </c>
      <c r="AH67" s="187">
        <f t="shared" si="20"/>
        <v>0</v>
      </c>
      <c r="AI67" s="193">
        <f t="shared" si="21"/>
        <v>0</v>
      </c>
      <c r="AJ67" s="187">
        <f t="shared" si="22"/>
        <v>0</v>
      </c>
      <c r="AK67" s="194">
        <f t="shared" si="11"/>
        <v>0</v>
      </c>
      <c r="AL67" s="156">
        <f t="shared" si="23"/>
        <v>0</v>
      </c>
      <c r="AM67" s="194">
        <f t="shared" si="12"/>
        <v>0</v>
      </c>
      <c r="AN67" s="156">
        <f t="shared" si="24"/>
        <v>0</v>
      </c>
      <c r="AO67" s="208">
        <f t="shared" si="25"/>
        <v>0</v>
      </c>
      <c r="AP67" s="209">
        <f t="shared" si="26"/>
        <v>0</v>
      </c>
      <c r="AQ67" s="208">
        <f t="shared" si="27"/>
        <v>0</v>
      </c>
      <c r="AR67" s="209">
        <f t="shared" si="28"/>
        <v>0</v>
      </c>
      <c r="AS67" s="211">
        <f t="shared" si="29"/>
        <v>0</v>
      </c>
      <c r="AT67" s="212">
        <f t="shared" si="30"/>
        <v>0</v>
      </c>
      <c r="AU67" s="157">
        <f t="shared" si="31"/>
        <v>0</v>
      </c>
      <c r="AV67" s="210" t="e">
        <f ca="1">_xlfn.IFNA(AM67 * AX67 * INDEX(INDIRECT("avoidedCost[" &amp; $T$6 &amp; "_$/kW]"), MATCH(AT67, avoidedCost[Measure Year], 0)) +
AQ67 * AY67 * INDEX(INDIRECT("avoidedCost[" &amp; $T$6 &amp; "_$/kWh]"), MATCH(AT67, avoidedCost[Measure Year], 0)), 0)</f>
        <v>#REF!</v>
      </c>
      <c r="AW67" s="210" t="e">
        <f ca="1">_xlfn.IFNA(AN67 * AX67 * (INDEX(INDIRECT("avoidedCost[" &amp; $T$6 &amp; "_$/kW]"), MATCH(AS67, avoidedCost[Measure Year], 0)) - INDEX(INDIRECT("avoidedCost[" &amp; $T$6 &amp; "_$/kW]"), MATCH(AT67, avoidedCost[Measure Year], 0))) +
AR67 * AY67 * (INDEX(INDIRECT("avoidedCost[" &amp; $T$6 &amp; "_$/kWh]"), MATCH(AS67, avoidedCost[Measure Year], 0)) - INDEX(INDIRECT("avoidedCost[" &amp; $T$6 &amp; "_$/kWh]"), MATCH(AT67, avoidedCost[Measure Year], 0))), 0)</f>
        <v>#REF!</v>
      </c>
      <c r="AX67" s="175">
        <f>IF('Lighting Input'!E67='Lookup Tables'!$G$3, INDEX('Lookup Tables'!$G$5:$J$15, MATCH('Lighting Input'!$C$10, 'Lookup Tables'!$F$5:$F$15,0),1), IF('Lighting Input'!E67='Lookup Tables'!$I$3, INDEX('Lookup Tables'!$I$5:$J$15, MATCH('Lighting Input'!$C$10, 'Lookup Tables'!$F$5:$F$15,0),1), 1))</f>
        <v>1</v>
      </c>
      <c r="AY67" s="175">
        <f>IF('Lighting Input'!E67='Lookup Tables'!$G$3, INDEX('Lookup Tables'!$G$5:$J$15, MATCH('Lighting Input'!$C$10, 'Lookup Tables'!$F$5:$F$15,0),2), IF('Lighting Input'!E67='Lookup Tables'!$I$3, INDEX('Lookup Tables'!$I$5:$J$15, MATCH('Lighting Input'!$C$10, 'Lookup Tables'!$F$5:$F$15,0),2), 1))</f>
        <v>1</v>
      </c>
    </row>
    <row r="68" spans="1:51" x14ac:dyDescent="0.2">
      <c r="A68" s="16">
        <v>15</v>
      </c>
      <c r="B68" s="173"/>
      <c r="C68" s="277"/>
      <c r="D68" s="277"/>
      <c r="E68" s="256">
        <f t="shared" si="13"/>
        <v>0</v>
      </c>
      <c r="F68" s="257"/>
      <c r="G68" s="247"/>
      <c r="H68" s="249"/>
      <c r="I68" s="247"/>
      <c r="J68" s="248"/>
      <c r="K68" s="248"/>
      <c r="L68" s="249"/>
      <c r="M68" s="13"/>
      <c r="N68" s="13"/>
      <c r="O68" s="13"/>
      <c r="P68" s="14"/>
      <c r="Q68" s="13"/>
      <c r="R68" s="14"/>
      <c r="S68" s="14"/>
      <c r="T68" s="14"/>
      <c r="U68" s="14"/>
      <c r="V68" s="136">
        <f t="shared" si="5"/>
        <v>0</v>
      </c>
      <c r="W68" s="163">
        <f t="shared" si="6"/>
        <v>0</v>
      </c>
      <c r="X68" s="163">
        <f t="shared" si="7"/>
        <v>0</v>
      </c>
      <c r="Y68" s="166">
        <f t="shared" si="8"/>
        <v>0</v>
      </c>
      <c r="Z68" s="162">
        <f t="shared" si="9"/>
        <v>0</v>
      </c>
      <c r="AA68" s="169">
        <f t="shared" si="14"/>
        <v>0</v>
      </c>
      <c r="AB68" s="213" t="str">
        <f t="shared" si="15"/>
        <v/>
      </c>
      <c r="AC68" s="191">
        <f t="shared" si="16"/>
        <v>0</v>
      </c>
      <c r="AD68" s="189">
        <f t="shared" si="17"/>
        <v>0</v>
      </c>
      <c r="AE68" s="192">
        <f t="shared" si="18"/>
        <v>0</v>
      </c>
      <c r="AF68" s="189">
        <f t="shared" si="10"/>
        <v>0</v>
      </c>
      <c r="AG68" s="193">
        <f t="shared" si="19"/>
        <v>0</v>
      </c>
      <c r="AH68" s="187">
        <f t="shared" si="20"/>
        <v>0</v>
      </c>
      <c r="AI68" s="193">
        <f t="shared" si="21"/>
        <v>0</v>
      </c>
      <c r="AJ68" s="187">
        <f t="shared" si="22"/>
        <v>0</v>
      </c>
      <c r="AK68" s="194">
        <f t="shared" si="11"/>
        <v>0</v>
      </c>
      <c r="AL68" s="156">
        <f t="shared" si="23"/>
        <v>0</v>
      </c>
      <c r="AM68" s="194">
        <f t="shared" si="12"/>
        <v>0</v>
      </c>
      <c r="AN68" s="156">
        <f t="shared" si="24"/>
        <v>0</v>
      </c>
      <c r="AO68" s="208">
        <f t="shared" si="25"/>
        <v>0</v>
      </c>
      <c r="AP68" s="209">
        <f t="shared" si="26"/>
        <v>0</v>
      </c>
      <c r="AQ68" s="208">
        <f t="shared" si="27"/>
        <v>0</v>
      </c>
      <c r="AR68" s="209">
        <f t="shared" si="28"/>
        <v>0</v>
      </c>
      <c r="AS68" s="211">
        <f t="shared" si="29"/>
        <v>0</v>
      </c>
      <c r="AT68" s="212">
        <f t="shared" si="30"/>
        <v>0</v>
      </c>
      <c r="AU68" s="157">
        <f t="shared" si="31"/>
        <v>0</v>
      </c>
      <c r="AV68" s="210" t="e">
        <f ca="1">_xlfn.IFNA(AM68 * AX68 * INDEX(INDIRECT("avoidedCost[" &amp; $T$6 &amp; "_$/kW]"), MATCH(AT68, avoidedCost[Measure Year], 0)) +
AQ68 * AY68 * INDEX(INDIRECT("avoidedCost[" &amp; $T$6 &amp; "_$/kWh]"), MATCH(AT68, avoidedCost[Measure Year], 0)), 0)</f>
        <v>#REF!</v>
      </c>
      <c r="AW68" s="210" t="e">
        <f ca="1">_xlfn.IFNA(AN68 * AX68 * (INDEX(INDIRECT("avoidedCost[" &amp; $T$6 &amp; "_$/kW]"), MATCH(AS68, avoidedCost[Measure Year], 0)) - INDEX(INDIRECT("avoidedCost[" &amp; $T$6 &amp; "_$/kW]"), MATCH(AT68, avoidedCost[Measure Year], 0))) +
AR68 * AY68 * (INDEX(INDIRECT("avoidedCost[" &amp; $T$6 &amp; "_$/kWh]"), MATCH(AS68, avoidedCost[Measure Year], 0)) - INDEX(INDIRECT("avoidedCost[" &amp; $T$6 &amp; "_$/kWh]"), MATCH(AT68, avoidedCost[Measure Year], 0))), 0)</f>
        <v>#REF!</v>
      </c>
      <c r="AX68" s="175">
        <f>IF('Lighting Input'!E68='Lookup Tables'!$G$3, INDEX('Lookup Tables'!$G$5:$J$15, MATCH('Lighting Input'!$C$10, 'Lookup Tables'!$F$5:$F$15,0),1), IF('Lighting Input'!E68='Lookup Tables'!$I$3, INDEX('Lookup Tables'!$I$5:$J$15, MATCH('Lighting Input'!$C$10, 'Lookup Tables'!$F$5:$F$15,0),1), 1))</f>
        <v>1</v>
      </c>
      <c r="AY68" s="175">
        <f>IF('Lighting Input'!E68='Lookup Tables'!$G$3, INDEX('Lookup Tables'!$G$5:$J$15, MATCH('Lighting Input'!$C$10, 'Lookup Tables'!$F$5:$F$15,0),2), IF('Lighting Input'!E68='Lookup Tables'!$I$3, INDEX('Lookup Tables'!$I$5:$J$15, MATCH('Lighting Input'!$C$10, 'Lookup Tables'!$F$5:$F$15,0),2), 1))</f>
        <v>1</v>
      </c>
    </row>
    <row r="69" spans="1:51" x14ac:dyDescent="0.2">
      <c r="A69" s="16">
        <v>16</v>
      </c>
      <c r="B69" s="173"/>
      <c r="C69" s="277"/>
      <c r="D69" s="277"/>
      <c r="E69" s="256">
        <f t="shared" si="13"/>
        <v>0</v>
      </c>
      <c r="F69" s="257"/>
      <c r="G69" s="247"/>
      <c r="H69" s="249"/>
      <c r="I69" s="247"/>
      <c r="J69" s="248"/>
      <c r="K69" s="248"/>
      <c r="L69" s="249"/>
      <c r="M69" s="13"/>
      <c r="N69" s="13"/>
      <c r="O69" s="13"/>
      <c r="P69" s="14"/>
      <c r="Q69" s="13"/>
      <c r="R69" s="14"/>
      <c r="S69" s="14"/>
      <c r="T69" s="14"/>
      <c r="U69" s="14"/>
      <c r="V69" s="136">
        <f t="shared" si="5"/>
        <v>0</v>
      </c>
      <c r="W69" s="163">
        <f t="shared" si="6"/>
        <v>0</v>
      </c>
      <c r="X69" s="163">
        <f t="shared" si="7"/>
        <v>0</v>
      </c>
      <c r="Y69" s="166">
        <f t="shared" si="8"/>
        <v>0</v>
      </c>
      <c r="Z69" s="162">
        <f t="shared" si="9"/>
        <v>0</v>
      </c>
      <c r="AA69" s="169">
        <f t="shared" si="14"/>
        <v>0</v>
      </c>
      <c r="AB69" s="213" t="str">
        <f t="shared" si="15"/>
        <v/>
      </c>
      <c r="AC69" s="191">
        <f t="shared" si="16"/>
        <v>0</v>
      </c>
      <c r="AD69" s="189">
        <f t="shared" si="17"/>
        <v>0</v>
      </c>
      <c r="AE69" s="192">
        <f t="shared" si="18"/>
        <v>0</v>
      </c>
      <c r="AF69" s="189">
        <f t="shared" si="10"/>
        <v>0</v>
      </c>
      <c r="AG69" s="193">
        <f t="shared" si="19"/>
        <v>0</v>
      </c>
      <c r="AH69" s="187">
        <f t="shared" si="20"/>
        <v>0</v>
      </c>
      <c r="AI69" s="193">
        <f t="shared" si="21"/>
        <v>0</v>
      </c>
      <c r="AJ69" s="187">
        <f t="shared" si="22"/>
        <v>0</v>
      </c>
      <c r="AK69" s="194">
        <f t="shared" si="11"/>
        <v>0</v>
      </c>
      <c r="AL69" s="156">
        <f t="shared" si="23"/>
        <v>0</v>
      </c>
      <c r="AM69" s="194">
        <f t="shared" si="12"/>
        <v>0</v>
      </c>
      <c r="AN69" s="156">
        <f t="shared" si="24"/>
        <v>0</v>
      </c>
      <c r="AO69" s="208">
        <f t="shared" si="25"/>
        <v>0</v>
      </c>
      <c r="AP69" s="209">
        <f t="shared" si="26"/>
        <v>0</v>
      </c>
      <c r="AQ69" s="208">
        <f t="shared" si="27"/>
        <v>0</v>
      </c>
      <c r="AR69" s="209">
        <f t="shared" si="28"/>
        <v>0</v>
      </c>
      <c r="AS69" s="211">
        <f t="shared" si="29"/>
        <v>0</v>
      </c>
      <c r="AT69" s="212">
        <f t="shared" si="30"/>
        <v>0</v>
      </c>
      <c r="AU69" s="157">
        <f t="shared" si="31"/>
        <v>0</v>
      </c>
      <c r="AV69" s="210" t="e">
        <f ca="1">_xlfn.IFNA(AM69 * AX69 * INDEX(INDIRECT("avoidedCost[" &amp; $T$6 &amp; "_$/kW]"), MATCH(AT69, avoidedCost[Measure Year], 0)) +
AQ69 * AY69 * INDEX(INDIRECT("avoidedCost[" &amp; $T$6 &amp; "_$/kWh]"), MATCH(AT69, avoidedCost[Measure Year], 0)), 0)</f>
        <v>#REF!</v>
      </c>
      <c r="AW69" s="210" t="e">
        <f ca="1">_xlfn.IFNA(AN69 * AX69 * (INDEX(INDIRECT("avoidedCost[" &amp; $T$6 &amp; "_$/kW]"), MATCH(AS69, avoidedCost[Measure Year], 0)) - INDEX(INDIRECT("avoidedCost[" &amp; $T$6 &amp; "_$/kW]"), MATCH(AT69, avoidedCost[Measure Year], 0))) +
AR69 * AY69 * (INDEX(INDIRECT("avoidedCost[" &amp; $T$6 &amp; "_$/kWh]"), MATCH(AS69, avoidedCost[Measure Year], 0)) - INDEX(INDIRECT("avoidedCost[" &amp; $T$6 &amp; "_$/kWh]"), MATCH(AT69, avoidedCost[Measure Year], 0))), 0)</f>
        <v>#REF!</v>
      </c>
      <c r="AX69" s="175">
        <f>IF('Lighting Input'!E69='Lookup Tables'!$G$3, INDEX('Lookup Tables'!$G$5:$J$15, MATCH('Lighting Input'!$C$10, 'Lookup Tables'!$F$5:$F$15,0),1), IF('Lighting Input'!E69='Lookup Tables'!$I$3, INDEX('Lookup Tables'!$I$5:$J$15, MATCH('Lighting Input'!$C$10, 'Lookup Tables'!$F$5:$F$15,0),1), 1))</f>
        <v>1</v>
      </c>
      <c r="AY69" s="175">
        <f>IF('Lighting Input'!E69='Lookup Tables'!$G$3, INDEX('Lookup Tables'!$G$5:$J$15, MATCH('Lighting Input'!$C$10, 'Lookup Tables'!$F$5:$F$15,0),2), IF('Lighting Input'!E69='Lookup Tables'!$I$3, INDEX('Lookup Tables'!$I$5:$J$15, MATCH('Lighting Input'!$C$10, 'Lookup Tables'!$F$5:$F$15,0),2), 1))</f>
        <v>1</v>
      </c>
    </row>
    <row r="70" spans="1:51" x14ac:dyDescent="0.2">
      <c r="A70" s="16">
        <v>17</v>
      </c>
      <c r="B70" s="173"/>
      <c r="C70" s="277"/>
      <c r="D70" s="277"/>
      <c r="E70" s="256">
        <f t="shared" si="13"/>
        <v>0</v>
      </c>
      <c r="F70" s="257"/>
      <c r="G70" s="247"/>
      <c r="H70" s="249"/>
      <c r="I70" s="247"/>
      <c r="J70" s="248"/>
      <c r="K70" s="248"/>
      <c r="L70" s="249"/>
      <c r="M70" s="13"/>
      <c r="N70" s="13"/>
      <c r="O70" s="13"/>
      <c r="P70" s="14"/>
      <c r="Q70" s="13"/>
      <c r="R70" s="14"/>
      <c r="S70" s="14"/>
      <c r="T70" s="14"/>
      <c r="U70" s="14"/>
      <c r="V70" s="136">
        <f t="shared" si="5"/>
        <v>0</v>
      </c>
      <c r="W70" s="163">
        <f t="shared" si="6"/>
        <v>0</v>
      </c>
      <c r="X70" s="163">
        <f t="shared" si="7"/>
        <v>0</v>
      </c>
      <c r="Y70" s="166">
        <f t="shared" si="8"/>
        <v>0</v>
      </c>
      <c r="Z70" s="162">
        <f t="shared" si="9"/>
        <v>0</v>
      </c>
      <c r="AA70" s="169">
        <f t="shared" si="14"/>
        <v>0</v>
      </c>
      <c r="AB70" s="213" t="str">
        <f t="shared" si="15"/>
        <v/>
      </c>
      <c r="AC70" s="191">
        <f t="shared" si="16"/>
        <v>0</v>
      </c>
      <c r="AD70" s="189">
        <f t="shared" si="17"/>
        <v>0</v>
      </c>
      <c r="AE70" s="192">
        <f t="shared" si="18"/>
        <v>0</v>
      </c>
      <c r="AF70" s="189">
        <f t="shared" si="10"/>
        <v>0</v>
      </c>
      <c r="AG70" s="193">
        <f t="shared" si="19"/>
        <v>0</v>
      </c>
      <c r="AH70" s="187">
        <f t="shared" si="20"/>
        <v>0</v>
      </c>
      <c r="AI70" s="193">
        <f t="shared" si="21"/>
        <v>0</v>
      </c>
      <c r="AJ70" s="187">
        <f t="shared" si="22"/>
        <v>0</v>
      </c>
      <c r="AK70" s="194">
        <f t="shared" si="11"/>
        <v>0</v>
      </c>
      <c r="AL70" s="156">
        <f t="shared" si="23"/>
        <v>0</v>
      </c>
      <c r="AM70" s="194">
        <f t="shared" si="12"/>
        <v>0</v>
      </c>
      <c r="AN70" s="156">
        <f t="shared" si="24"/>
        <v>0</v>
      </c>
      <c r="AO70" s="208">
        <f t="shared" si="25"/>
        <v>0</v>
      </c>
      <c r="AP70" s="209">
        <f t="shared" si="26"/>
        <v>0</v>
      </c>
      <c r="AQ70" s="208">
        <f t="shared" si="27"/>
        <v>0</v>
      </c>
      <c r="AR70" s="209">
        <f t="shared" si="28"/>
        <v>0</v>
      </c>
      <c r="AS70" s="211">
        <f t="shared" si="29"/>
        <v>0</v>
      </c>
      <c r="AT70" s="212">
        <f t="shared" si="30"/>
        <v>0</v>
      </c>
      <c r="AU70" s="157">
        <f t="shared" si="31"/>
        <v>0</v>
      </c>
      <c r="AV70" s="210" t="e">
        <f ca="1">_xlfn.IFNA(AM70 * AX70 * INDEX(INDIRECT("avoidedCost[" &amp; $T$6 &amp; "_$/kW]"), MATCH(AT70, avoidedCost[Measure Year], 0)) +
AQ70 * AY70 * INDEX(INDIRECT("avoidedCost[" &amp; $T$6 &amp; "_$/kWh]"), MATCH(AT70, avoidedCost[Measure Year], 0)), 0)</f>
        <v>#REF!</v>
      </c>
      <c r="AW70" s="210" t="e">
        <f ca="1">_xlfn.IFNA(AN70 * AX70 * (INDEX(INDIRECT("avoidedCost[" &amp; $T$6 &amp; "_$/kW]"), MATCH(AS70, avoidedCost[Measure Year], 0)) - INDEX(INDIRECT("avoidedCost[" &amp; $T$6 &amp; "_$/kW]"), MATCH(AT70, avoidedCost[Measure Year], 0))) +
AR70 * AY70 * (INDEX(INDIRECT("avoidedCost[" &amp; $T$6 &amp; "_$/kWh]"), MATCH(AS70, avoidedCost[Measure Year], 0)) - INDEX(INDIRECT("avoidedCost[" &amp; $T$6 &amp; "_$/kWh]"), MATCH(AT70, avoidedCost[Measure Year], 0))), 0)</f>
        <v>#REF!</v>
      </c>
      <c r="AX70" s="175">
        <f>IF('Lighting Input'!E70='Lookup Tables'!$G$3, INDEX('Lookup Tables'!$G$5:$J$15, MATCH('Lighting Input'!$C$10, 'Lookup Tables'!$F$5:$F$15,0),1), IF('Lighting Input'!E70='Lookup Tables'!$I$3, INDEX('Lookup Tables'!$I$5:$J$15, MATCH('Lighting Input'!$C$10, 'Lookup Tables'!$F$5:$F$15,0),1), 1))</f>
        <v>1</v>
      </c>
      <c r="AY70" s="175">
        <f>IF('Lighting Input'!E70='Lookup Tables'!$G$3, INDEX('Lookup Tables'!$G$5:$J$15, MATCH('Lighting Input'!$C$10, 'Lookup Tables'!$F$5:$F$15,0),2), IF('Lighting Input'!E70='Lookup Tables'!$I$3, INDEX('Lookup Tables'!$I$5:$J$15, MATCH('Lighting Input'!$C$10, 'Lookup Tables'!$F$5:$F$15,0),2), 1))</f>
        <v>1</v>
      </c>
    </row>
    <row r="71" spans="1:51" x14ac:dyDescent="0.2">
      <c r="A71" s="16">
        <v>18</v>
      </c>
      <c r="B71" s="173"/>
      <c r="C71" s="277"/>
      <c r="D71" s="277"/>
      <c r="E71" s="256">
        <f t="shared" si="13"/>
        <v>0</v>
      </c>
      <c r="F71" s="257"/>
      <c r="G71" s="247"/>
      <c r="H71" s="249"/>
      <c r="I71" s="247"/>
      <c r="J71" s="248"/>
      <c r="K71" s="248"/>
      <c r="L71" s="249"/>
      <c r="M71" s="13"/>
      <c r="N71" s="13"/>
      <c r="O71" s="13"/>
      <c r="P71" s="14"/>
      <c r="Q71" s="13"/>
      <c r="R71" s="14"/>
      <c r="S71" s="14"/>
      <c r="T71" s="14"/>
      <c r="U71" s="14"/>
      <c r="V71" s="136">
        <f t="shared" si="5"/>
        <v>0</v>
      </c>
      <c r="W71" s="163">
        <f t="shared" si="6"/>
        <v>0</v>
      </c>
      <c r="X71" s="163">
        <f t="shared" si="7"/>
        <v>0</v>
      </c>
      <c r="Y71" s="166">
        <f t="shared" si="8"/>
        <v>0</v>
      </c>
      <c r="Z71" s="162">
        <f t="shared" si="9"/>
        <v>0</v>
      </c>
      <c r="AA71" s="169">
        <f t="shared" si="14"/>
        <v>0</v>
      </c>
      <c r="AB71" s="213" t="str">
        <f t="shared" si="15"/>
        <v/>
      </c>
      <c r="AC71" s="191">
        <f t="shared" si="16"/>
        <v>0</v>
      </c>
      <c r="AD71" s="189">
        <f t="shared" si="17"/>
        <v>0</v>
      </c>
      <c r="AE71" s="192">
        <f t="shared" si="18"/>
        <v>0</v>
      </c>
      <c r="AF71" s="189">
        <f t="shared" si="10"/>
        <v>0</v>
      </c>
      <c r="AG71" s="193">
        <f t="shared" si="19"/>
        <v>0</v>
      </c>
      <c r="AH71" s="187">
        <f t="shared" si="20"/>
        <v>0</v>
      </c>
      <c r="AI71" s="193">
        <f t="shared" si="21"/>
        <v>0</v>
      </c>
      <c r="AJ71" s="187">
        <f t="shared" si="22"/>
        <v>0</v>
      </c>
      <c r="AK71" s="194">
        <f t="shared" si="11"/>
        <v>0</v>
      </c>
      <c r="AL71" s="156">
        <f t="shared" si="23"/>
        <v>0</v>
      </c>
      <c r="AM71" s="194">
        <f t="shared" si="12"/>
        <v>0</v>
      </c>
      <c r="AN71" s="156">
        <f t="shared" si="24"/>
        <v>0</v>
      </c>
      <c r="AO71" s="208">
        <f t="shared" si="25"/>
        <v>0</v>
      </c>
      <c r="AP71" s="209">
        <f t="shared" si="26"/>
        <v>0</v>
      </c>
      <c r="AQ71" s="208">
        <f t="shared" si="27"/>
        <v>0</v>
      </c>
      <c r="AR71" s="209">
        <f t="shared" si="28"/>
        <v>0</v>
      </c>
      <c r="AS71" s="211">
        <f t="shared" si="29"/>
        <v>0</v>
      </c>
      <c r="AT71" s="212">
        <f t="shared" si="30"/>
        <v>0</v>
      </c>
      <c r="AU71" s="157">
        <f t="shared" si="31"/>
        <v>0</v>
      </c>
      <c r="AV71" s="210" t="e">
        <f ca="1">_xlfn.IFNA(AM71 * AX71 * INDEX(INDIRECT("avoidedCost[" &amp; $T$6 &amp; "_$/kW]"), MATCH(AT71, avoidedCost[Measure Year], 0)) +
AQ71 * AY71 * INDEX(INDIRECT("avoidedCost[" &amp; $T$6 &amp; "_$/kWh]"), MATCH(AT71, avoidedCost[Measure Year], 0)), 0)</f>
        <v>#REF!</v>
      </c>
      <c r="AW71" s="210" t="e">
        <f ca="1">_xlfn.IFNA(AN71 * AX71 * (INDEX(INDIRECT("avoidedCost[" &amp; $T$6 &amp; "_$/kW]"), MATCH(AS71, avoidedCost[Measure Year], 0)) - INDEX(INDIRECT("avoidedCost[" &amp; $T$6 &amp; "_$/kW]"), MATCH(AT71, avoidedCost[Measure Year], 0))) +
AR71 * AY71 * (INDEX(INDIRECT("avoidedCost[" &amp; $T$6 &amp; "_$/kWh]"), MATCH(AS71, avoidedCost[Measure Year], 0)) - INDEX(INDIRECT("avoidedCost[" &amp; $T$6 &amp; "_$/kWh]"), MATCH(AT71, avoidedCost[Measure Year], 0))), 0)</f>
        <v>#REF!</v>
      </c>
      <c r="AX71" s="175">
        <f>IF('Lighting Input'!E71='Lookup Tables'!$G$3, INDEX('Lookup Tables'!$G$5:$J$15, MATCH('Lighting Input'!$C$10, 'Lookup Tables'!$F$5:$F$15,0),1), IF('Lighting Input'!E71='Lookup Tables'!$I$3, INDEX('Lookup Tables'!$I$5:$J$15, MATCH('Lighting Input'!$C$10, 'Lookup Tables'!$F$5:$F$15,0),1), 1))</f>
        <v>1</v>
      </c>
      <c r="AY71" s="175">
        <f>IF('Lighting Input'!E71='Lookup Tables'!$G$3, INDEX('Lookup Tables'!$G$5:$J$15, MATCH('Lighting Input'!$C$10, 'Lookup Tables'!$F$5:$F$15,0),2), IF('Lighting Input'!E71='Lookup Tables'!$I$3, INDEX('Lookup Tables'!$I$5:$J$15, MATCH('Lighting Input'!$C$10, 'Lookup Tables'!$F$5:$F$15,0),2), 1))</f>
        <v>1</v>
      </c>
    </row>
    <row r="72" spans="1:51" x14ac:dyDescent="0.2">
      <c r="A72" s="16">
        <v>19</v>
      </c>
      <c r="B72" s="173"/>
      <c r="C72" s="277"/>
      <c r="D72" s="277"/>
      <c r="E72" s="256">
        <f t="shared" si="13"/>
        <v>0</v>
      </c>
      <c r="F72" s="257"/>
      <c r="G72" s="247"/>
      <c r="H72" s="249"/>
      <c r="I72" s="247"/>
      <c r="J72" s="248"/>
      <c r="K72" s="248"/>
      <c r="L72" s="249"/>
      <c r="M72" s="13"/>
      <c r="N72" s="13"/>
      <c r="O72" s="13"/>
      <c r="P72" s="14"/>
      <c r="Q72" s="13"/>
      <c r="R72" s="14"/>
      <c r="S72" s="14"/>
      <c r="T72" s="14"/>
      <c r="U72" s="14"/>
      <c r="V72" s="136">
        <f t="shared" si="5"/>
        <v>0</v>
      </c>
      <c r="W72" s="163">
        <f t="shared" si="6"/>
        <v>0</v>
      </c>
      <c r="X72" s="163">
        <f t="shared" si="7"/>
        <v>0</v>
      </c>
      <c r="Y72" s="166">
        <f t="shared" si="8"/>
        <v>0</v>
      </c>
      <c r="Z72" s="162">
        <f t="shared" si="9"/>
        <v>0</v>
      </c>
      <c r="AA72" s="169">
        <f t="shared" si="14"/>
        <v>0</v>
      </c>
      <c r="AB72" s="213" t="str">
        <f t="shared" si="15"/>
        <v/>
      </c>
      <c r="AC72" s="191">
        <f t="shared" si="16"/>
        <v>0</v>
      </c>
      <c r="AD72" s="189">
        <f t="shared" si="17"/>
        <v>0</v>
      </c>
      <c r="AE72" s="192">
        <f t="shared" si="18"/>
        <v>0</v>
      </c>
      <c r="AF72" s="189">
        <f t="shared" si="10"/>
        <v>0</v>
      </c>
      <c r="AG72" s="193">
        <f t="shared" si="19"/>
        <v>0</v>
      </c>
      <c r="AH72" s="187">
        <f t="shared" si="20"/>
        <v>0</v>
      </c>
      <c r="AI72" s="193">
        <f t="shared" si="21"/>
        <v>0</v>
      </c>
      <c r="AJ72" s="187">
        <f t="shared" si="22"/>
        <v>0</v>
      </c>
      <c r="AK72" s="194">
        <f t="shared" si="11"/>
        <v>0</v>
      </c>
      <c r="AL72" s="156">
        <f t="shared" si="23"/>
        <v>0</v>
      </c>
      <c r="AM72" s="194">
        <f t="shared" si="12"/>
        <v>0</v>
      </c>
      <c r="AN72" s="156">
        <f t="shared" si="24"/>
        <v>0</v>
      </c>
      <c r="AO72" s="208">
        <f t="shared" si="25"/>
        <v>0</v>
      </c>
      <c r="AP72" s="209">
        <f t="shared" si="26"/>
        <v>0</v>
      </c>
      <c r="AQ72" s="208">
        <f t="shared" si="27"/>
        <v>0</v>
      </c>
      <c r="AR72" s="209">
        <f t="shared" si="28"/>
        <v>0</v>
      </c>
      <c r="AS72" s="211">
        <f t="shared" si="29"/>
        <v>0</v>
      </c>
      <c r="AT72" s="212">
        <f t="shared" si="30"/>
        <v>0</v>
      </c>
      <c r="AU72" s="157">
        <f t="shared" si="31"/>
        <v>0</v>
      </c>
      <c r="AV72" s="210" t="e">
        <f ca="1">_xlfn.IFNA(AM72 * AX72 * INDEX(INDIRECT("avoidedCost[" &amp; $T$6 &amp; "_$/kW]"), MATCH(AT72, avoidedCost[Measure Year], 0)) +
AQ72 * AY72 * INDEX(INDIRECT("avoidedCost[" &amp; $T$6 &amp; "_$/kWh]"), MATCH(AT72, avoidedCost[Measure Year], 0)), 0)</f>
        <v>#REF!</v>
      </c>
      <c r="AW72" s="210" t="e">
        <f ca="1">_xlfn.IFNA(AN72 * AX72 * (INDEX(INDIRECT("avoidedCost[" &amp; $T$6 &amp; "_$/kW]"), MATCH(AS72, avoidedCost[Measure Year], 0)) - INDEX(INDIRECT("avoidedCost[" &amp; $T$6 &amp; "_$/kW]"), MATCH(AT72, avoidedCost[Measure Year], 0))) +
AR72 * AY72 * (INDEX(INDIRECT("avoidedCost[" &amp; $T$6 &amp; "_$/kWh]"), MATCH(AS72, avoidedCost[Measure Year], 0)) - INDEX(INDIRECT("avoidedCost[" &amp; $T$6 &amp; "_$/kWh]"), MATCH(AT72, avoidedCost[Measure Year], 0))), 0)</f>
        <v>#REF!</v>
      </c>
      <c r="AX72" s="175">
        <f>IF('Lighting Input'!E72='Lookup Tables'!$G$3, INDEX('Lookup Tables'!$G$5:$J$15, MATCH('Lighting Input'!$C$10, 'Lookup Tables'!$F$5:$F$15,0),1), IF('Lighting Input'!E72='Lookup Tables'!$I$3, INDEX('Lookup Tables'!$I$5:$J$15, MATCH('Lighting Input'!$C$10, 'Lookup Tables'!$F$5:$F$15,0),1), 1))</f>
        <v>1</v>
      </c>
      <c r="AY72" s="175">
        <f>IF('Lighting Input'!E72='Lookup Tables'!$G$3, INDEX('Lookup Tables'!$G$5:$J$15, MATCH('Lighting Input'!$C$10, 'Lookup Tables'!$F$5:$F$15,0),2), IF('Lighting Input'!E72='Lookup Tables'!$I$3, INDEX('Lookup Tables'!$I$5:$J$15, MATCH('Lighting Input'!$C$10, 'Lookup Tables'!$F$5:$F$15,0),2), 1))</f>
        <v>1</v>
      </c>
    </row>
    <row r="73" spans="1:51" x14ac:dyDescent="0.2">
      <c r="A73" s="16">
        <v>20</v>
      </c>
      <c r="B73" s="173"/>
      <c r="C73" s="247"/>
      <c r="D73" s="249"/>
      <c r="E73" s="256">
        <f t="shared" si="13"/>
        <v>0</v>
      </c>
      <c r="F73" s="257"/>
      <c r="G73" s="247"/>
      <c r="H73" s="249"/>
      <c r="I73" s="247"/>
      <c r="J73" s="248"/>
      <c r="K73" s="248"/>
      <c r="L73" s="249"/>
      <c r="M73" s="13"/>
      <c r="N73" s="13"/>
      <c r="O73" s="13"/>
      <c r="P73" s="14"/>
      <c r="Q73" s="13"/>
      <c r="R73" s="14"/>
      <c r="S73" s="14"/>
      <c r="T73" s="14"/>
      <c r="U73" s="14"/>
      <c r="V73" s="136">
        <f t="shared" si="5"/>
        <v>0</v>
      </c>
      <c r="W73" s="163">
        <f t="shared" si="6"/>
        <v>0</v>
      </c>
      <c r="X73" s="163">
        <f t="shared" si="7"/>
        <v>0</v>
      </c>
      <c r="Y73" s="166">
        <f t="shared" si="8"/>
        <v>0</v>
      </c>
      <c r="Z73" s="162">
        <f t="shared" si="9"/>
        <v>0</v>
      </c>
      <c r="AA73" s="169">
        <f t="shared" si="14"/>
        <v>0</v>
      </c>
      <c r="AB73" s="213" t="str">
        <f t="shared" si="15"/>
        <v/>
      </c>
      <c r="AC73" s="191">
        <f t="shared" si="16"/>
        <v>0</v>
      </c>
      <c r="AD73" s="189">
        <f t="shared" si="17"/>
        <v>0</v>
      </c>
      <c r="AE73" s="192">
        <f t="shared" si="18"/>
        <v>0</v>
      </c>
      <c r="AF73" s="189">
        <f t="shared" si="10"/>
        <v>0</v>
      </c>
      <c r="AG73" s="193">
        <f t="shared" si="19"/>
        <v>0</v>
      </c>
      <c r="AH73" s="187">
        <f t="shared" si="20"/>
        <v>0</v>
      </c>
      <c r="AI73" s="193">
        <f t="shared" si="21"/>
        <v>0</v>
      </c>
      <c r="AJ73" s="187">
        <f t="shared" si="22"/>
        <v>0</v>
      </c>
      <c r="AK73" s="194">
        <f t="shared" si="11"/>
        <v>0</v>
      </c>
      <c r="AL73" s="156">
        <f t="shared" si="23"/>
        <v>0</v>
      </c>
      <c r="AM73" s="194">
        <f t="shared" si="12"/>
        <v>0</v>
      </c>
      <c r="AN73" s="156">
        <f t="shared" si="24"/>
        <v>0</v>
      </c>
      <c r="AO73" s="208">
        <f t="shared" si="25"/>
        <v>0</v>
      </c>
      <c r="AP73" s="209">
        <f t="shared" si="26"/>
        <v>0</v>
      </c>
      <c r="AQ73" s="208">
        <f t="shared" si="27"/>
        <v>0</v>
      </c>
      <c r="AR73" s="209">
        <f t="shared" si="28"/>
        <v>0</v>
      </c>
      <c r="AS73" s="211">
        <f t="shared" si="29"/>
        <v>0</v>
      </c>
      <c r="AT73" s="212">
        <f t="shared" si="30"/>
        <v>0</v>
      </c>
      <c r="AU73" s="157">
        <f t="shared" si="31"/>
        <v>0</v>
      </c>
      <c r="AV73" s="210" t="e">
        <f ca="1">_xlfn.IFNA(AM73 * AX73 * INDEX(INDIRECT("avoidedCost[" &amp; $T$6 &amp; "_$/kW]"), MATCH(AT73, avoidedCost[Measure Year], 0)) +
AQ73 * AY73 * INDEX(INDIRECT("avoidedCost[" &amp; $T$6 &amp; "_$/kWh]"), MATCH(AT73, avoidedCost[Measure Year], 0)), 0)</f>
        <v>#REF!</v>
      </c>
      <c r="AW73" s="210" t="e">
        <f ca="1">_xlfn.IFNA(AN73 * AX73 * (INDEX(INDIRECT("avoidedCost[" &amp; $T$6 &amp; "_$/kW]"), MATCH(AS73, avoidedCost[Measure Year], 0)) - INDEX(INDIRECT("avoidedCost[" &amp; $T$6 &amp; "_$/kW]"), MATCH(AT73, avoidedCost[Measure Year], 0))) +
AR73 * AY73 * (INDEX(INDIRECT("avoidedCost[" &amp; $T$6 &amp; "_$/kWh]"), MATCH(AS73, avoidedCost[Measure Year], 0)) - INDEX(INDIRECT("avoidedCost[" &amp; $T$6 &amp; "_$/kWh]"), MATCH(AT73, avoidedCost[Measure Year], 0))), 0)</f>
        <v>#REF!</v>
      </c>
      <c r="AX73" s="175">
        <f>IF('Lighting Input'!E73='Lookup Tables'!$G$3, INDEX('Lookup Tables'!$G$5:$J$15, MATCH('Lighting Input'!$C$10, 'Lookup Tables'!$F$5:$F$15,0),1), IF('Lighting Input'!E73='Lookup Tables'!$I$3, INDEX('Lookup Tables'!$I$5:$J$15, MATCH('Lighting Input'!$C$10, 'Lookup Tables'!$F$5:$F$15,0),1), 1))</f>
        <v>1</v>
      </c>
      <c r="AY73" s="175">
        <f>IF('Lighting Input'!E73='Lookup Tables'!$G$3, INDEX('Lookup Tables'!$G$5:$J$15, MATCH('Lighting Input'!$C$10, 'Lookup Tables'!$F$5:$F$15,0),2), IF('Lighting Input'!E73='Lookup Tables'!$I$3, INDEX('Lookup Tables'!$I$5:$J$15, MATCH('Lighting Input'!$C$10, 'Lookup Tables'!$F$5:$F$15,0),2), 1))</f>
        <v>1</v>
      </c>
    </row>
    <row r="74" spans="1:51" x14ac:dyDescent="0.2">
      <c r="A74" s="16">
        <v>21</v>
      </c>
      <c r="B74" s="173"/>
      <c r="C74" s="247"/>
      <c r="D74" s="249"/>
      <c r="E74" s="256">
        <f t="shared" si="13"/>
        <v>0</v>
      </c>
      <c r="F74" s="257"/>
      <c r="G74" s="247"/>
      <c r="H74" s="249"/>
      <c r="I74" s="247"/>
      <c r="J74" s="248"/>
      <c r="K74" s="248"/>
      <c r="L74" s="249"/>
      <c r="M74" s="13"/>
      <c r="N74" s="13"/>
      <c r="O74" s="13"/>
      <c r="P74" s="14"/>
      <c r="Q74" s="13"/>
      <c r="R74" s="14"/>
      <c r="S74" s="14"/>
      <c r="T74" s="14"/>
      <c r="U74" s="14"/>
      <c r="V74" s="136">
        <f t="shared" si="5"/>
        <v>0</v>
      </c>
      <c r="W74" s="163">
        <f t="shared" si="6"/>
        <v>0</v>
      </c>
      <c r="X74" s="163">
        <f t="shared" si="7"/>
        <v>0</v>
      </c>
      <c r="Y74" s="166">
        <f t="shared" si="8"/>
        <v>0</v>
      </c>
      <c r="Z74" s="162">
        <f t="shared" si="9"/>
        <v>0</v>
      </c>
      <c r="AA74" s="169">
        <f t="shared" si="14"/>
        <v>0</v>
      </c>
      <c r="AB74" s="213" t="str">
        <f t="shared" si="15"/>
        <v/>
      </c>
      <c r="AC74" s="191">
        <f t="shared" si="16"/>
        <v>0</v>
      </c>
      <c r="AD74" s="189">
        <f t="shared" si="17"/>
        <v>0</v>
      </c>
      <c r="AE74" s="192">
        <f t="shared" si="18"/>
        <v>0</v>
      </c>
      <c r="AF74" s="189">
        <f t="shared" si="10"/>
        <v>0</v>
      </c>
      <c r="AG74" s="193">
        <f t="shared" si="19"/>
        <v>0</v>
      </c>
      <c r="AH74" s="187">
        <f t="shared" si="20"/>
        <v>0</v>
      </c>
      <c r="AI74" s="193">
        <f t="shared" si="21"/>
        <v>0</v>
      </c>
      <c r="AJ74" s="187">
        <f t="shared" si="22"/>
        <v>0</v>
      </c>
      <c r="AK74" s="194">
        <f t="shared" si="11"/>
        <v>0</v>
      </c>
      <c r="AL74" s="156">
        <f t="shared" si="23"/>
        <v>0</v>
      </c>
      <c r="AM74" s="194">
        <f t="shared" si="12"/>
        <v>0</v>
      </c>
      <c r="AN74" s="156">
        <f t="shared" si="24"/>
        <v>0</v>
      </c>
      <c r="AO74" s="208">
        <f t="shared" si="25"/>
        <v>0</v>
      </c>
      <c r="AP74" s="209">
        <f t="shared" si="26"/>
        <v>0</v>
      </c>
      <c r="AQ74" s="208">
        <f t="shared" si="27"/>
        <v>0</v>
      </c>
      <c r="AR74" s="209">
        <f t="shared" si="28"/>
        <v>0</v>
      </c>
      <c r="AS74" s="211">
        <f t="shared" si="29"/>
        <v>0</v>
      </c>
      <c r="AT74" s="212">
        <f t="shared" si="30"/>
        <v>0</v>
      </c>
      <c r="AU74" s="157">
        <f t="shared" si="31"/>
        <v>0</v>
      </c>
      <c r="AV74" s="210" t="e">
        <f ca="1">_xlfn.IFNA(AM74 * AX74 * INDEX(INDIRECT("avoidedCost[" &amp; $T$6 &amp; "_$/kW]"), MATCH(AT74, avoidedCost[Measure Year], 0)) +
AQ74 * AY74 * INDEX(INDIRECT("avoidedCost[" &amp; $T$6 &amp; "_$/kWh]"), MATCH(AT74, avoidedCost[Measure Year], 0)), 0)</f>
        <v>#REF!</v>
      </c>
      <c r="AW74" s="210" t="e">
        <f ca="1">_xlfn.IFNA(AN74 * AX74 * (INDEX(INDIRECT("avoidedCost[" &amp; $T$6 &amp; "_$/kW]"), MATCH(AS74, avoidedCost[Measure Year], 0)) - INDEX(INDIRECT("avoidedCost[" &amp; $T$6 &amp; "_$/kW]"), MATCH(AT74, avoidedCost[Measure Year], 0))) +
AR74 * AY74 * (INDEX(INDIRECT("avoidedCost[" &amp; $T$6 &amp; "_$/kWh]"), MATCH(AS74, avoidedCost[Measure Year], 0)) - INDEX(INDIRECT("avoidedCost[" &amp; $T$6 &amp; "_$/kWh]"), MATCH(AT74, avoidedCost[Measure Year], 0))), 0)</f>
        <v>#REF!</v>
      </c>
      <c r="AX74" s="175">
        <f>IF('Lighting Input'!E74='Lookup Tables'!$G$3, INDEX('Lookup Tables'!$G$5:$J$15, MATCH('Lighting Input'!$C$10, 'Lookup Tables'!$F$5:$F$15,0),1), IF('Lighting Input'!E74='Lookup Tables'!$I$3, INDEX('Lookup Tables'!$I$5:$J$15, MATCH('Lighting Input'!$C$10, 'Lookup Tables'!$F$5:$F$15,0),1), 1))</f>
        <v>1</v>
      </c>
      <c r="AY74" s="175">
        <f>IF('Lighting Input'!E74='Lookup Tables'!$G$3, INDEX('Lookup Tables'!$G$5:$J$15, MATCH('Lighting Input'!$C$10, 'Lookup Tables'!$F$5:$F$15,0),2), IF('Lighting Input'!E74='Lookup Tables'!$I$3, INDEX('Lookup Tables'!$I$5:$J$15, MATCH('Lighting Input'!$C$10, 'Lookup Tables'!$F$5:$F$15,0),2), 1))</f>
        <v>1</v>
      </c>
    </row>
    <row r="75" spans="1:51" x14ac:dyDescent="0.2">
      <c r="A75" s="16">
        <v>22</v>
      </c>
      <c r="B75" s="173"/>
      <c r="C75" s="247"/>
      <c r="D75" s="249"/>
      <c r="E75" s="256">
        <f t="shared" si="13"/>
        <v>0</v>
      </c>
      <c r="F75" s="257"/>
      <c r="G75" s="247"/>
      <c r="H75" s="249"/>
      <c r="I75" s="247"/>
      <c r="J75" s="248"/>
      <c r="K75" s="248"/>
      <c r="L75" s="249"/>
      <c r="M75" s="13"/>
      <c r="N75" s="13"/>
      <c r="O75" s="13"/>
      <c r="P75" s="14"/>
      <c r="Q75" s="13"/>
      <c r="R75" s="14"/>
      <c r="S75" s="14"/>
      <c r="T75" s="14"/>
      <c r="U75" s="14"/>
      <c r="V75" s="136">
        <f t="shared" si="5"/>
        <v>0</v>
      </c>
      <c r="W75" s="163">
        <f t="shared" si="6"/>
        <v>0</v>
      </c>
      <c r="X75" s="163">
        <f t="shared" si="7"/>
        <v>0</v>
      </c>
      <c r="Y75" s="166">
        <f t="shared" si="8"/>
        <v>0</v>
      </c>
      <c r="Z75" s="162">
        <f t="shared" si="9"/>
        <v>0</v>
      </c>
      <c r="AA75" s="169">
        <f t="shared" si="14"/>
        <v>0</v>
      </c>
      <c r="AB75" s="213" t="str">
        <f t="shared" si="15"/>
        <v/>
      </c>
      <c r="AC75" s="191">
        <f t="shared" si="16"/>
        <v>0</v>
      </c>
      <c r="AD75" s="189">
        <f t="shared" si="17"/>
        <v>0</v>
      </c>
      <c r="AE75" s="192">
        <f t="shared" si="18"/>
        <v>0</v>
      </c>
      <c r="AF75" s="189">
        <f t="shared" si="10"/>
        <v>0</v>
      </c>
      <c r="AG75" s="193">
        <f t="shared" si="19"/>
        <v>0</v>
      </c>
      <c r="AH75" s="187">
        <f t="shared" si="20"/>
        <v>0</v>
      </c>
      <c r="AI75" s="193">
        <f t="shared" si="21"/>
        <v>0</v>
      </c>
      <c r="AJ75" s="187">
        <f t="shared" si="22"/>
        <v>0</v>
      </c>
      <c r="AK75" s="194">
        <f t="shared" si="11"/>
        <v>0</v>
      </c>
      <c r="AL75" s="156">
        <f t="shared" si="23"/>
        <v>0</v>
      </c>
      <c r="AM75" s="194">
        <f t="shared" si="12"/>
        <v>0</v>
      </c>
      <c r="AN75" s="156">
        <f t="shared" si="24"/>
        <v>0</v>
      </c>
      <c r="AO75" s="208">
        <f t="shared" si="25"/>
        <v>0</v>
      </c>
      <c r="AP75" s="209">
        <f t="shared" si="26"/>
        <v>0</v>
      </c>
      <c r="AQ75" s="208">
        <f t="shared" si="27"/>
        <v>0</v>
      </c>
      <c r="AR75" s="209">
        <f t="shared" si="28"/>
        <v>0</v>
      </c>
      <c r="AS75" s="211">
        <f t="shared" si="29"/>
        <v>0</v>
      </c>
      <c r="AT75" s="212">
        <f t="shared" si="30"/>
        <v>0</v>
      </c>
      <c r="AU75" s="157">
        <f t="shared" si="31"/>
        <v>0</v>
      </c>
      <c r="AV75" s="210" t="e">
        <f ca="1">_xlfn.IFNA(AM75 * AX75 * INDEX(INDIRECT("avoidedCost[" &amp; $T$6 &amp; "_$/kW]"), MATCH(AT75, avoidedCost[Measure Year], 0)) +
AQ75 * AY75 * INDEX(INDIRECT("avoidedCost[" &amp; $T$6 &amp; "_$/kWh]"), MATCH(AT75, avoidedCost[Measure Year], 0)), 0)</f>
        <v>#REF!</v>
      </c>
      <c r="AW75" s="210" t="e">
        <f ca="1">_xlfn.IFNA(AN75 * AX75 * (INDEX(INDIRECT("avoidedCost[" &amp; $T$6 &amp; "_$/kW]"), MATCH(AS75, avoidedCost[Measure Year], 0)) - INDEX(INDIRECT("avoidedCost[" &amp; $T$6 &amp; "_$/kW]"), MATCH(AT75, avoidedCost[Measure Year], 0))) +
AR75 * AY75 * (INDEX(INDIRECT("avoidedCost[" &amp; $T$6 &amp; "_$/kWh]"), MATCH(AS75, avoidedCost[Measure Year], 0)) - INDEX(INDIRECT("avoidedCost[" &amp; $T$6 &amp; "_$/kWh]"), MATCH(AT75, avoidedCost[Measure Year], 0))), 0)</f>
        <v>#REF!</v>
      </c>
      <c r="AX75" s="175">
        <f>IF('Lighting Input'!E75='Lookup Tables'!$G$3, INDEX('Lookup Tables'!$G$5:$J$15, MATCH('Lighting Input'!$C$10, 'Lookup Tables'!$F$5:$F$15,0),1), IF('Lighting Input'!E75='Lookup Tables'!$I$3, INDEX('Lookup Tables'!$I$5:$J$15, MATCH('Lighting Input'!$C$10, 'Lookup Tables'!$F$5:$F$15,0),1), 1))</f>
        <v>1</v>
      </c>
      <c r="AY75" s="175">
        <f>IF('Lighting Input'!E75='Lookup Tables'!$G$3, INDEX('Lookup Tables'!$G$5:$J$15, MATCH('Lighting Input'!$C$10, 'Lookup Tables'!$F$5:$F$15,0),2), IF('Lighting Input'!E75='Lookup Tables'!$I$3, INDEX('Lookup Tables'!$I$5:$J$15, MATCH('Lighting Input'!$C$10, 'Lookup Tables'!$F$5:$F$15,0),2), 1))</f>
        <v>1</v>
      </c>
    </row>
    <row r="76" spans="1:51" x14ac:dyDescent="0.2">
      <c r="A76" s="16">
        <v>23</v>
      </c>
      <c r="B76" s="173"/>
      <c r="C76" s="247"/>
      <c r="D76" s="249"/>
      <c r="E76" s="256">
        <f t="shared" si="13"/>
        <v>0</v>
      </c>
      <c r="F76" s="257"/>
      <c r="G76" s="247"/>
      <c r="H76" s="249"/>
      <c r="I76" s="247"/>
      <c r="J76" s="248"/>
      <c r="K76" s="248"/>
      <c r="L76" s="249"/>
      <c r="M76" s="13"/>
      <c r="N76" s="13"/>
      <c r="O76" s="13"/>
      <c r="P76" s="14"/>
      <c r="Q76" s="13"/>
      <c r="R76" s="14"/>
      <c r="S76" s="14"/>
      <c r="T76" s="14"/>
      <c r="U76" s="14"/>
      <c r="V76" s="136">
        <f t="shared" si="5"/>
        <v>0</v>
      </c>
      <c r="W76" s="163">
        <f t="shared" si="6"/>
        <v>0</v>
      </c>
      <c r="X76" s="163">
        <f t="shared" si="7"/>
        <v>0</v>
      </c>
      <c r="Y76" s="166">
        <f t="shared" si="8"/>
        <v>0</v>
      </c>
      <c r="Z76" s="162">
        <f t="shared" si="9"/>
        <v>0</v>
      </c>
      <c r="AA76" s="169">
        <f t="shared" si="14"/>
        <v>0</v>
      </c>
      <c r="AB76" s="213" t="str">
        <f t="shared" si="15"/>
        <v/>
      </c>
      <c r="AC76" s="191">
        <f t="shared" si="16"/>
        <v>0</v>
      </c>
      <c r="AD76" s="189">
        <f t="shared" si="17"/>
        <v>0</v>
      </c>
      <c r="AE76" s="192">
        <f t="shared" si="18"/>
        <v>0</v>
      </c>
      <c r="AF76" s="189">
        <f t="shared" si="10"/>
        <v>0</v>
      </c>
      <c r="AG76" s="193">
        <f t="shared" si="19"/>
        <v>0</v>
      </c>
      <c r="AH76" s="187">
        <f t="shared" si="20"/>
        <v>0</v>
      </c>
      <c r="AI76" s="193">
        <f t="shared" si="21"/>
        <v>0</v>
      </c>
      <c r="AJ76" s="187">
        <f t="shared" si="22"/>
        <v>0</v>
      </c>
      <c r="AK76" s="194">
        <f t="shared" si="11"/>
        <v>0</v>
      </c>
      <c r="AL76" s="156">
        <f t="shared" si="23"/>
        <v>0</v>
      </c>
      <c r="AM76" s="194">
        <f t="shared" si="12"/>
        <v>0</v>
      </c>
      <c r="AN76" s="156">
        <f t="shared" si="24"/>
        <v>0</v>
      </c>
      <c r="AO76" s="208">
        <f t="shared" si="25"/>
        <v>0</v>
      </c>
      <c r="AP76" s="209">
        <f t="shared" si="26"/>
        <v>0</v>
      </c>
      <c r="AQ76" s="208">
        <f t="shared" si="27"/>
        <v>0</v>
      </c>
      <c r="AR76" s="209">
        <f t="shared" si="28"/>
        <v>0</v>
      </c>
      <c r="AS76" s="211">
        <f t="shared" si="29"/>
        <v>0</v>
      </c>
      <c r="AT76" s="212">
        <f t="shared" si="30"/>
        <v>0</v>
      </c>
      <c r="AU76" s="157">
        <f t="shared" si="31"/>
        <v>0</v>
      </c>
      <c r="AV76" s="210" t="e">
        <f ca="1">_xlfn.IFNA(AM76 * AX76 * INDEX(INDIRECT("avoidedCost[" &amp; $T$6 &amp; "_$/kW]"), MATCH(AT76, avoidedCost[Measure Year], 0)) +
AQ76 * AY76 * INDEX(INDIRECT("avoidedCost[" &amp; $T$6 &amp; "_$/kWh]"), MATCH(AT76, avoidedCost[Measure Year], 0)), 0)</f>
        <v>#REF!</v>
      </c>
      <c r="AW76" s="210" t="e">
        <f ca="1">_xlfn.IFNA(AN76 * AX76 * (INDEX(INDIRECT("avoidedCost[" &amp; $T$6 &amp; "_$/kW]"), MATCH(AS76, avoidedCost[Measure Year], 0)) - INDEX(INDIRECT("avoidedCost[" &amp; $T$6 &amp; "_$/kW]"), MATCH(AT76, avoidedCost[Measure Year], 0))) +
AR76 * AY76 * (INDEX(INDIRECT("avoidedCost[" &amp; $T$6 &amp; "_$/kWh]"), MATCH(AS76, avoidedCost[Measure Year], 0)) - INDEX(INDIRECT("avoidedCost[" &amp; $T$6 &amp; "_$/kWh]"), MATCH(AT76, avoidedCost[Measure Year], 0))), 0)</f>
        <v>#REF!</v>
      </c>
      <c r="AX76" s="175">
        <f>IF('Lighting Input'!E76='Lookup Tables'!$G$3, INDEX('Lookup Tables'!$G$5:$J$15, MATCH('Lighting Input'!$C$10, 'Lookup Tables'!$F$5:$F$15,0),1), IF('Lighting Input'!E76='Lookup Tables'!$I$3, INDEX('Lookup Tables'!$I$5:$J$15, MATCH('Lighting Input'!$C$10, 'Lookup Tables'!$F$5:$F$15,0),1), 1))</f>
        <v>1</v>
      </c>
      <c r="AY76" s="175">
        <f>IF('Lighting Input'!E76='Lookup Tables'!$G$3, INDEX('Lookup Tables'!$G$5:$J$15, MATCH('Lighting Input'!$C$10, 'Lookup Tables'!$F$5:$F$15,0),2), IF('Lighting Input'!E76='Lookup Tables'!$I$3, INDEX('Lookup Tables'!$I$5:$J$15, MATCH('Lighting Input'!$C$10, 'Lookup Tables'!$F$5:$F$15,0),2), 1))</f>
        <v>1</v>
      </c>
    </row>
    <row r="77" spans="1:51" x14ac:dyDescent="0.2">
      <c r="A77" s="16">
        <v>24</v>
      </c>
      <c r="B77" s="173"/>
      <c r="C77" s="247"/>
      <c r="D77" s="249"/>
      <c r="E77" s="256">
        <f t="shared" si="13"/>
        <v>0</v>
      </c>
      <c r="F77" s="257"/>
      <c r="G77" s="247"/>
      <c r="H77" s="249"/>
      <c r="I77" s="247"/>
      <c r="J77" s="248"/>
      <c r="K77" s="248"/>
      <c r="L77" s="249"/>
      <c r="M77" s="13"/>
      <c r="N77" s="13"/>
      <c r="O77" s="13"/>
      <c r="P77" s="14"/>
      <c r="Q77" s="13"/>
      <c r="R77" s="14"/>
      <c r="S77" s="14"/>
      <c r="T77" s="14"/>
      <c r="U77" s="14"/>
      <c r="V77" s="136">
        <f t="shared" si="5"/>
        <v>0</v>
      </c>
      <c r="W77" s="163">
        <f t="shared" si="6"/>
        <v>0</v>
      </c>
      <c r="X77" s="163">
        <f t="shared" si="7"/>
        <v>0</v>
      </c>
      <c r="Y77" s="166">
        <f t="shared" si="8"/>
        <v>0</v>
      </c>
      <c r="Z77" s="162">
        <f t="shared" si="9"/>
        <v>0</v>
      </c>
      <c r="AA77" s="169">
        <f t="shared" si="14"/>
        <v>0</v>
      </c>
      <c r="AB77" s="213" t="str">
        <f t="shared" si="15"/>
        <v/>
      </c>
      <c r="AC77" s="191">
        <f t="shared" si="16"/>
        <v>0</v>
      </c>
      <c r="AD77" s="189">
        <f t="shared" si="17"/>
        <v>0</v>
      </c>
      <c r="AE77" s="192">
        <f t="shared" si="18"/>
        <v>0</v>
      </c>
      <c r="AF77" s="189">
        <f t="shared" si="10"/>
        <v>0</v>
      </c>
      <c r="AG77" s="193">
        <f t="shared" si="19"/>
        <v>0</v>
      </c>
      <c r="AH77" s="187">
        <f t="shared" si="20"/>
        <v>0</v>
      </c>
      <c r="AI77" s="193">
        <f t="shared" si="21"/>
        <v>0</v>
      </c>
      <c r="AJ77" s="187">
        <f t="shared" si="22"/>
        <v>0</v>
      </c>
      <c r="AK77" s="194">
        <f t="shared" si="11"/>
        <v>0</v>
      </c>
      <c r="AL77" s="156">
        <f t="shared" si="23"/>
        <v>0</v>
      </c>
      <c r="AM77" s="194">
        <f t="shared" si="12"/>
        <v>0</v>
      </c>
      <c r="AN77" s="156">
        <f t="shared" si="24"/>
        <v>0</v>
      </c>
      <c r="AO77" s="208">
        <f t="shared" si="25"/>
        <v>0</v>
      </c>
      <c r="AP77" s="209">
        <f t="shared" si="26"/>
        <v>0</v>
      </c>
      <c r="AQ77" s="208">
        <f t="shared" si="27"/>
        <v>0</v>
      </c>
      <c r="AR77" s="209">
        <f t="shared" si="28"/>
        <v>0</v>
      </c>
      <c r="AS77" s="211">
        <f t="shared" si="29"/>
        <v>0</v>
      </c>
      <c r="AT77" s="212">
        <f t="shared" si="30"/>
        <v>0</v>
      </c>
      <c r="AU77" s="157">
        <f t="shared" si="31"/>
        <v>0</v>
      </c>
      <c r="AV77" s="210" t="e">
        <f ca="1">_xlfn.IFNA(AM77 * AX77 * INDEX(INDIRECT("avoidedCost[" &amp; $T$6 &amp; "_$/kW]"), MATCH(AT77, avoidedCost[Measure Year], 0)) +
AQ77 * AY77 * INDEX(INDIRECT("avoidedCost[" &amp; $T$6 &amp; "_$/kWh]"), MATCH(AT77, avoidedCost[Measure Year], 0)), 0)</f>
        <v>#REF!</v>
      </c>
      <c r="AW77" s="210" t="e">
        <f ca="1">_xlfn.IFNA(AN77 * AX77 * (INDEX(INDIRECT("avoidedCost[" &amp; $T$6 &amp; "_$/kW]"), MATCH(AS77, avoidedCost[Measure Year], 0)) - INDEX(INDIRECT("avoidedCost[" &amp; $T$6 &amp; "_$/kW]"), MATCH(AT77, avoidedCost[Measure Year], 0))) +
AR77 * AY77 * (INDEX(INDIRECT("avoidedCost[" &amp; $T$6 &amp; "_$/kWh]"), MATCH(AS77, avoidedCost[Measure Year], 0)) - INDEX(INDIRECT("avoidedCost[" &amp; $T$6 &amp; "_$/kWh]"), MATCH(AT77, avoidedCost[Measure Year], 0))), 0)</f>
        <v>#REF!</v>
      </c>
      <c r="AX77" s="175">
        <f>IF('Lighting Input'!E77='Lookup Tables'!$G$3, INDEX('Lookup Tables'!$G$5:$J$15, MATCH('Lighting Input'!$C$10, 'Lookup Tables'!$F$5:$F$15,0),1), IF('Lighting Input'!E77='Lookup Tables'!$I$3, INDEX('Lookup Tables'!$I$5:$J$15, MATCH('Lighting Input'!$C$10, 'Lookup Tables'!$F$5:$F$15,0),1), 1))</f>
        <v>1</v>
      </c>
      <c r="AY77" s="175">
        <f>IF('Lighting Input'!E77='Lookup Tables'!$G$3, INDEX('Lookup Tables'!$G$5:$J$15, MATCH('Lighting Input'!$C$10, 'Lookup Tables'!$F$5:$F$15,0),2), IF('Lighting Input'!E77='Lookup Tables'!$I$3, INDEX('Lookup Tables'!$I$5:$J$15, MATCH('Lighting Input'!$C$10, 'Lookup Tables'!$F$5:$F$15,0),2), 1))</f>
        <v>1</v>
      </c>
    </row>
    <row r="78" spans="1:51" x14ac:dyDescent="0.2">
      <c r="A78" s="16">
        <v>25</v>
      </c>
      <c r="B78" s="173"/>
      <c r="C78" s="247"/>
      <c r="D78" s="249"/>
      <c r="E78" s="256">
        <f t="shared" si="13"/>
        <v>0</v>
      </c>
      <c r="F78" s="257"/>
      <c r="G78" s="247"/>
      <c r="H78" s="249"/>
      <c r="I78" s="247"/>
      <c r="J78" s="248"/>
      <c r="K78" s="248"/>
      <c r="L78" s="249"/>
      <c r="M78" s="13"/>
      <c r="N78" s="13"/>
      <c r="O78" s="13"/>
      <c r="P78" s="14"/>
      <c r="Q78" s="13"/>
      <c r="R78" s="14"/>
      <c r="S78" s="14"/>
      <c r="T78" s="14"/>
      <c r="U78" s="14"/>
      <c r="V78" s="136">
        <f t="shared" si="5"/>
        <v>0</v>
      </c>
      <c r="W78" s="163">
        <f t="shared" si="6"/>
        <v>0</v>
      </c>
      <c r="X78" s="163">
        <f t="shared" si="7"/>
        <v>0</v>
      </c>
      <c r="Y78" s="166">
        <f t="shared" si="8"/>
        <v>0</v>
      </c>
      <c r="Z78" s="162">
        <f t="shared" si="9"/>
        <v>0</v>
      </c>
      <c r="AA78" s="169">
        <f t="shared" si="14"/>
        <v>0</v>
      </c>
      <c r="AB78" s="213" t="str">
        <f t="shared" si="15"/>
        <v/>
      </c>
      <c r="AC78" s="191">
        <f t="shared" si="16"/>
        <v>0</v>
      </c>
      <c r="AD78" s="189">
        <f t="shared" si="17"/>
        <v>0</v>
      </c>
      <c r="AE78" s="192">
        <f t="shared" si="18"/>
        <v>0</v>
      </c>
      <c r="AF78" s="189">
        <f t="shared" si="10"/>
        <v>0</v>
      </c>
      <c r="AG78" s="193">
        <f t="shared" si="19"/>
        <v>0</v>
      </c>
      <c r="AH78" s="187">
        <f t="shared" si="20"/>
        <v>0</v>
      </c>
      <c r="AI78" s="193">
        <f t="shared" si="21"/>
        <v>0</v>
      </c>
      <c r="AJ78" s="187">
        <f t="shared" si="22"/>
        <v>0</v>
      </c>
      <c r="AK78" s="194">
        <f t="shared" si="11"/>
        <v>0</v>
      </c>
      <c r="AL78" s="156">
        <f t="shared" si="23"/>
        <v>0</v>
      </c>
      <c r="AM78" s="194">
        <f t="shared" si="12"/>
        <v>0</v>
      </c>
      <c r="AN78" s="156">
        <f t="shared" si="24"/>
        <v>0</v>
      </c>
      <c r="AO78" s="208">
        <f t="shared" si="25"/>
        <v>0</v>
      </c>
      <c r="AP78" s="209">
        <f t="shared" si="26"/>
        <v>0</v>
      </c>
      <c r="AQ78" s="208">
        <f t="shared" si="27"/>
        <v>0</v>
      </c>
      <c r="AR78" s="209">
        <f t="shared" si="28"/>
        <v>0</v>
      </c>
      <c r="AS78" s="211">
        <f t="shared" si="29"/>
        <v>0</v>
      </c>
      <c r="AT78" s="212">
        <f t="shared" si="30"/>
        <v>0</v>
      </c>
      <c r="AU78" s="157">
        <f t="shared" si="31"/>
        <v>0</v>
      </c>
      <c r="AV78" s="210" t="e">
        <f ca="1">_xlfn.IFNA(AM78 * AX78 * INDEX(INDIRECT("avoidedCost[" &amp; $T$6 &amp; "_$/kW]"), MATCH(AT78, avoidedCost[Measure Year], 0)) +
AQ78 * AY78 * INDEX(INDIRECT("avoidedCost[" &amp; $T$6 &amp; "_$/kWh]"), MATCH(AT78, avoidedCost[Measure Year], 0)), 0)</f>
        <v>#REF!</v>
      </c>
      <c r="AW78" s="210" t="e">
        <f ca="1">_xlfn.IFNA(AN78 * AX78 * (INDEX(INDIRECT("avoidedCost[" &amp; $T$6 &amp; "_$/kW]"), MATCH(AS78, avoidedCost[Measure Year], 0)) - INDEX(INDIRECT("avoidedCost[" &amp; $T$6 &amp; "_$/kW]"), MATCH(AT78, avoidedCost[Measure Year], 0))) +
AR78 * AY78 * (INDEX(INDIRECT("avoidedCost[" &amp; $T$6 &amp; "_$/kWh]"), MATCH(AS78, avoidedCost[Measure Year], 0)) - INDEX(INDIRECT("avoidedCost[" &amp; $T$6 &amp; "_$/kWh]"), MATCH(AT78, avoidedCost[Measure Year], 0))), 0)</f>
        <v>#REF!</v>
      </c>
      <c r="AX78" s="175">
        <f>IF('Lighting Input'!E78='Lookup Tables'!$G$3, INDEX('Lookup Tables'!$G$5:$J$15, MATCH('Lighting Input'!$C$10, 'Lookup Tables'!$F$5:$F$15,0),1), IF('Lighting Input'!E78='Lookup Tables'!$I$3, INDEX('Lookup Tables'!$I$5:$J$15, MATCH('Lighting Input'!$C$10, 'Lookup Tables'!$F$5:$F$15,0),1), 1))</f>
        <v>1</v>
      </c>
      <c r="AY78" s="175">
        <f>IF('Lighting Input'!E78='Lookup Tables'!$G$3, INDEX('Lookup Tables'!$G$5:$J$15, MATCH('Lighting Input'!$C$10, 'Lookup Tables'!$F$5:$F$15,0),2), IF('Lighting Input'!E78='Lookup Tables'!$I$3, INDEX('Lookup Tables'!$I$5:$J$15, MATCH('Lighting Input'!$C$10, 'Lookup Tables'!$F$5:$F$15,0),2), 1))</f>
        <v>1</v>
      </c>
    </row>
    <row r="79" spans="1:51" x14ac:dyDescent="0.2">
      <c r="A79" s="16">
        <v>26</v>
      </c>
      <c r="B79" s="173"/>
      <c r="C79" s="247"/>
      <c r="D79" s="249"/>
      <c r="E79" s="256">
        <f t="shared" si="13"/>
        <v>0</v>
      </c>
      <c r="F79" s="257"/>
      <c r="G79" s="247"/>
      <c r="H79" s="249"/>
      <c r="I79" s="247"/>
      <c r="J79" s="248"/>
      <c r="K79" s="248"/>
      <c r="L79" s="249"/>
      <c r="M79" s="13"/>
      <c r="N79" s="13"/>
      <c r="O79" s="13"/>
      <c r="P79" s="14"/>
      <c r="Q79" s="13"/>
      <c r="R79" s="14"/>
      <c r="S79" s="14"/>
      <c r="T79" s="14"/>
      <c r="U79" s="14"/>
      <c r="V79" s="136">
        <f t="shared" si="5"/>
        <v>0</v>
      </c>
      <c r="W79" s="163">
        <f t="shared" si="6"/>
        <v>0</v>
      </c>
      <c r="X79" s="163">
        <f t="shared" si="7"/>
        <v>0</v>
      </c>
      <c r="Y79" s="166">
        <f t="shared" si="8"/>
        <v>0</v>
      </c>
      <c r="Z79" s="162">
        <f t="shared" si="9"/>
        <v>0</v>
      </c>
      <c r="AA79" s="169">
        <f t="shared" si="14"/>
        <v>0</v>
      </c>
      <c r="AB79" s="213" t="str">
        <f t="shared" si="15"/>
        <v/>
      </c>
      <c r="AC79" s="191">
        <f t="shared" si="16"/>
        <v>0</v>
      </c>
      <c r="AD79" s="189">
        <f t="shared" si="17"/>
        <v>0</v>
      </c>
      <c r="AE79" s="192">
        <f t="shared" si="18"/>
        <v>0</v>
      </c>
      <c r="AF79" s="189">
        <f t="shared" si="10"/>
        <v>0</v>
      </c>
      <c r="AG79" s="193">
        <f t="shared" si="19"/>
        <v>0</v>
      </c>
      <c r="AH79" s="187">
        <f t="shared" si="20"/>
        <v>0</v>
      </c>
      <c r="AI79" s="193">
        <f t="shared" si="21"/>
        <v>0</v>
      </c>
      <c r="AJ79" s="187">
        <f t="shared" si="22"/>
        <v>0</v>
      </c>
      <c r="AK79" s="194">
        <f t="shared" si="11"/>
        <v>0</v>
      </c>
      <c r="AL79" s="156">
        <f t="shared" si="23"/>
        <v>0</v>
      </c>
      <c r="AM79" s="194">
        <f t="shared" si="12"/>
        <v>0</v>
      </c>
      <c r="AN79" s="156">
        <f t="shared" si="24"/>
        <v>0</v>
      </c>
      <c r="AO79" s="208">
        <f t="shared" si="25"/>
        <v>0</v>
      </c>
      <c r="AP79" s="209">
        <f t="shared" si="26"/>
        <v>0</v>
      </c>
      <c r="AQ79" s="208">
        <f t="shared" si="27"/>
        <v>0</v>
      </c>
      <c r="AR79" s="209">
        <f t="shared" si="28"/>
        <v>0</v>
      </c>
      <c r="AS79" s="211">
        <f t="shared" si="29"/>
        <v>0</v>
      </c>
      <c r="AT79" s="212">
        <f t="shared" si="30"/>
        <v>0</v>
      </c>
      <c r="AU79" s="157">
        <f t="shared" si="31"/>
        <v>0</v>
      </c>
      <c r="AV79" s="210" t="e">
        <f ca="1">_xlfn.IFNA(AM79 * AX79 * INDEX(INDIRECT("avoidedCost[" &amp; $T$6 &amp; "_$/kW]"), MATCH(AT79, avoidedCost[Measure Year], 0)) +
AQ79 * AY79 * INDEX(INDIRECT("avoidedCost[" &amp; $T$6 &amp; "_$/kWh]"), MATCH(AT79, avoidedCost[Measure Year], 0)), 0)</f>
        <v>#REF!</v>
      </c>
      <c r="AW79" s="210" t="e">
        <f ca="1">_xlfn.IFNA(AN79 * AX79 * (INDEX(INDIRECT("avoidedCost[" &amp; $T$6 &amp; "_$/kW]"), MATCH(AS79, avoidedCost[Measure Year], 0)) - INDEX(INDIRECT("avoidedCost[" &amp; $T$6 &amp; "_$/kW]"), MATCH(AT79, avoidedCost[Measure Year], 0))) +
AR79 * AY79 * (INDEX(INDIRECT("avoidedCost[" &amp; $T$6 &amp; "_$/kWh]"), MATCH(AS79, avoidedCost[Measure Year], 0)) - INDEX(INDIRECT("avoidedCost[" &amp; $T$6 &amp; "_$/kWh]"), MATCH(AT79, avoidedCost[Measure Year], 0))), 0)</f>
        <v>#REF!</v>
      </c>
      <c r="AX79" s="175">
        <f>IF('Lighting Input'!E79='Lookup Tables'!$G$3, INDEX('Lookup Tables'!$G$5:$J$15, MATCH('Lighting Input'!$C$10, 'Lookup Tables'!$F$5:$F$15,0),1), IF('Lighting Input'!E79='Lookup Tables'!$I$3, INDEX('Lookup Tables'!$I$5:$J$15, MATCH('Lighting Input'!$C$10, 'Lookup Tables'!$F$5:$F$15,0),1), 1))</f>
        <v>1</v>
      </c>
      <c r="AY79" s="175">
        <f>IF('Lighting Input'!E79='Lookup Tables'!$G$3, INDEX('Lookup Tables'!$G$5:$J$15, MATCH('Lighting Input'!$C$10, 'Lookup Tables'!$F$5:$F$15,0),2), IF('Lighting Input'!E79='Lookup Tables'!$I$3, INDEX('Lookup Tables'!$I$5:$J$15, MATCH('Lighting Input'!$C$10, 'Lookup Tables'!$F$5:$F$15,0),2), 1))</f>
        <v>1</v>
      </c>
    </row>
    <row r="80" spans="1:51" x14ac:dyDescent="0.2">
      <c r="A80" s="16">
        <v>27</v>
      </c>
      <c r="B80" s="173"/>
      <c r="C80" s="247"/>
      <c r="D80" s="249"/>
      <c r="E80" s="256">
        <f t="shared" si="13"/>
        <v>0</v>
      </c>
      <c r="F80" s="257"/>
      <c r="G80" s="247"/>
      <c r="H80" s="249"/>
      <c r="I80" s="247"/>
      <c r="J80" s="248"/>
      <c r="K80" s="248"/>
      <c r="L80" s="249"/>
      <c r="M80" s="13"/>
      <c r="N80" s="13"/>
      <c r="O80" s="13"/>
      <c r="P80" s="14"/>
      <c r="Q80" s="13"/>
      <c r="R80" s="14"/>
      <c r="S80" s="14"/>
      <c r="T80" s="14"/>
      <c r="U80" s="14"/>
      <c r="V80" s="136">
        <f t="shared" si="5"/>
        <v>0</v>
      </c>
      <c r="W80" s="163">
        <f t="shared" si="6"/>
        <v>0</v>
      </c>
      <c r="X80" s="163">
        <f t="shared" si="7"/>
        <v>0</v>
      </c>
      <c r="Y80" s="166">
        <f t="shared" si="8"/>
        <v>0</v>
      </c>
      <c r="Z80" s="162">
        <f t="shared" si="9"/>
        <v>0</v>
      </c>
      <c r="AA80" s="169">
        <f t="shared" si="14"/>
        <v>0</v>
      </c>
      <c r="AB80" s="213" t="str">
        <f t="shared" si="15"/>
        <v/>
      </c>
      <c r="AC80" s="191">
        <f t="shared" si="16"/>
        <v>0</v>
      </c>
      <c r="AD80" s="189">
        <f t="shared" si="17"/>
        <v>0</v>
      </c>
      <c r="AE80" s="192">
        <f t="shared" si="18"/>
        <v>0</v>
      </c>
      <c r="AF80" s="189">
        <f t="shared" si="10"/>
        <v>0</v>
      </c>
      <c r="AG80" s="193">
        <f t="shared" si="19"/>
        <v>0</v>
      </c>
      <c r="AH80" s="187">
        <f t="shared" si="20"/>
        <v>0</v>
      </c>
      <c r="AI80" s="193">
        <f t="shared" si="21"/>
        <v>0</v>
      </c>
      <c r="AJ80" s="187">
        <f t="shared" si="22"/>
        <v>0</v>
      </c>
      <c r="AK80" s="194">
        <f t="shared" si="11"/>
        <v>0</v>
      </c>
      <c r="AL80" s="156">
        <f t="shared" si="23"/>
        <v>0</v>
      </c>
      <c r="AM80" s="194">
        <f t="shared" si="12"/>
        <v>0</v>
      </c>
      <c r="AN80" s="156">
        <f t="shared" si="24"/>
        <v>0</v>
      </c>
      <c r="AO80" s="208">
        <f t="shared" si="25"/>
        <v>0</v>
      </c>
      <c r="AP80" s="209">
        <f t="shared" si="26"/>
        <v>0</v>
      </c>
      <c r="AQ80" s="208">
        <f t="shared" si="27"/>
        <v>0</v>
      </c>
      <c r="AR80" s="209">
        <f t="shared" si="28"/>
        <v>0</v>
      </c>
      <c r="AS80" s="211">
        <f t="shared" si="29"/>
        <v>0</v>
      </c>
      <c r="AT80" s="212">
        <f t="shared" si="30"/>
        <v>0</v>
      </c>
      <c r="AU80" s="157">
        <f t="shared" si="31"/>
        <v>0</v>
      </c>
      <c r="AV80" s="210" t="e">
        <f ca="1">_xlfn.IFNA(AM80 * AX80 * INDEX(INDIRECT("avoidedCost[" &amp; $T$6 &amp; "_$/kW]"), MATCH(AT80, avoidedCost[Measure Year], 0)) +
AQ80 * AY80 * INDEX(INDIRECT("avoidedCost[" &amp; $T$6 &amp; "_$/kWh]"), MATCH(AT80, avoidedCost[Measure Year], 0)), 0)</f>
        <v>#REF!</v>
      </c>
      <c r="AW80" s="210" t="e">
        <f ca="1">_xlfn.IFNA(AN80 * AX80 * (INDEX(INDIRECT("avoidedCost[" &amp; $T$6 &amp; "_$/kW]"), MATCH(AS80, avoidedCost[Measure Year], 0)) - INDEX(INDIRECT("avoidedCost[" &amp; $T$6 &amp; "_$/kW]"), MATCH(AT80, avoidedCost[Measure Year], 0))) +
AR80 * AY80 * (INDEX(INDIRECT("avoidedCost[" &amp; $T$6 &amp; "_$/kWh]"), MATCH(AS80, avoidedCost[Measure Year], 0)) - INDEX(INDIRECT("avoidedCost[" &amp; $T$6 &amp; "_$/kWh]"), MATCH(AT80, avoidedCost[Measure Year], 0))), 0)</f>
        <v>#REF!</v>
      </c>
      <c r="AX80" s="175">
        <f>IF('Lighting Input'!E80='Lookup Tables'!$G$3, INDEX('Lookup Tables'!$G$5:$J$15, MATCH('Lighting Input'!$C$10, 'Lookup Tables'!$F$5:$F$15,0),1), IF('Lighting Input'!E80='Lookup Tables'!$I$3, INDEX('Lookup Tables'!$I$5:$J$15, MATCH('Lighting Input'!$C$10, 'Lookup Tables'!$F$5:$F$15,0),1), 1))</f>
        <v>1</v>
      </c>
      <c r="AY80" s="175">
        <f>IF('Lighting Input'!E80='Lookup Tables'!$G$3, INDEX('Lookup Tables'!$G$5:$J$15, MATCH('Lighting Input'!$C$10, 'Lookup Tables'!$F$5:$F$15,0),2), IF('Lighting Input'!E80='Lookup Tables'!$I$3, INDEX('Lookup Tables'!$I$5:$J$15, MATCH('Lighting Input'!$C$10, 'Lookup Tables'!$F$5:$F$15,0),2), 1))</f>
        <v>1</v>
      </c>
    </row>
    <row r="81" spans="1:51" x14ac:dyDescent="0.2">
      <c r="A81" s="16">
        <v>28</v>
      </c>
      <c r="B81" s="173"/>
      <c r="C81" s="247"/>
      <c r="D81" s="249"/>
      <c r="E81" s="256">
        <f t="shared" si="13"/>
        <v>0</v>
      </c>
      <c r="F81" s="257"/>
      <c r="G81" s="247"/>
      <c r="H81" s="249"/>
      <c r="I81" s="247"/>
      <c r="J81" s="248"/>
      <c r="K81" s="248"/>
      <c r="L81" s="249"/>
      <c r="M81" s="13"/>
      <c r="N81" s="13"/>
      <c r="O81" s="13"/>
      <c r="P81" s="14"/>
      <c r="Q81" s="13"/>
      <c r="R81" s="14"/>
      <c r="S81" s="14"/>
      <c r="T81" s="14"/>
      <c r="U81" s="14"/>
      <c r="V81" s="136">
        <f t="shared" si="5"/>
        <v>0</v>
      </c>
      <c r="W81" s="163">
        <f t="shared" si="6"/>
        <v>0</v>
      </c>
      <c r="X81" s="163">
        <f t="shared" si="7"/>
        <v>0</v>
      </c>
      <c r="Y81" s="166">
        <f t="shared" si="8"/>
        <v>0</v>
      </c>
      <c r="Z81" s="162">
        <f t="shared" si="9"/>
        <v>0</v>
      </c>
      <c r="AA81" s="169">
        <f t="shared" si="14"/>
        <v>0</v>
      </c>
      <c r="AB81" s="213" t="str">
        <f t="shared" si="15"/>
        <v/>
      </c>
      <c r="AC81" s="191">
        <f t="shared" si="16"/>
        <v>0</v>
      </c>
      <c r="AD81" s="189">
        <f t="shared" si="17"/>
        <v>0</v>
      </c>
      <c r="AE81" s="192">
        <f t="shared" si="18"/>
        <v>0</v>
      </c>
      <c r="AF81" s="189">
        <f t="shared" si="10"/>
        <v>0</v>
      </c>
      <c r="AG81" s="193">
        <f t="shared" si="19"/>
        <v>0</v>
      </c>
      <c r="AH81" s="187">
        <f t="shared" si="20"/>
        <v>0</v>
      </c>
      <c r="AI81" s="193">
        <f t="shared" si="21"/>
        <v>0</v>
      </c>
      <c r="AJ81" s="187">
        <f t="shared" si="22"/>
        <v>0</v>
      </c>
      <c r="AK81" s="194">
        <f t="shared" si="11"/>
        <v>0</v>
      </c>
      <c r="AL81" s="156">
        <f t="shared" si="23"/>
        <v>0</v>
      </c>
      <c r="AM81" s="194">
        <f t="shared" si="12"/>
        <v>0</v>
      </c>
      <c r="AN81" s="156">
        <f t="shared" si="24"/>
        <v>0</v>
      </c>
      <c r="AO81" s="208">
        <f t="shared" si="25"/>
        <v>0</v>
      </c>
      <c r="AP81" s="209">
        <f t="shared" si="26"/>
        <v>0</v>
      </c>
      <c r="AQ81" s="208">
        <f t="shared" si="27"/>
        <v>0</v>
      </c>
      <c r="AR81" s="209">
        <f t="shared" si="28"/>
        <v>0</v>
      </c>
      <c r="AS81" s="211">
        <f t="shared" si="29"/>
        <v>0</v>
      </c>
      <c r="AT81" s="212">
        <f t="shared" si="30"/>
        <v>0</v>
      </c>
      <c r="AU81" s="157">
        <f t="shared" si="31"/>
        <v>0</v>
      </c>
      <c r="AV81" s="210" t="e">
        <f ca="1">_xlfn.IFNA(AM81 * AX81 * INDEX(INDIRECT("avoidedCost[" &amp; $T$6 &amp; "_$/kW]"), MATCH(AT81, avoidedCost[Measure Year], 0)) +
AQ81 * AY81 * INDEX(INDIRECT("avoidedCost[" &amp; $T$6 &amp; "_$/kWh]"), MATCH(AT81, avoidedCost[Measure Year], 0)), 0)</f>
        <v>#REF!</v>
      </c>
      <c r="AW81" s="210" t="e">
        <f ca="1">_xlfn.IFNA(AN81 * AX81 * (INDEX(INDIRECT("avoidedCost[" &amp; $T$6 &amp; "_$/kW]"), MATCH(AS81, avoidedCost[Measure Year], 0)) - INDEX(INDIRECT("avoidedCost[" &amp; $T$6 &amp; "_$/kW]"), MATCH(AT81, avoidedCost[Measure Year], 0))) +
AR81 * AY81 * (INDEX(INDIRECT("avoidedCost[" &amp; $T$6 &amp; "_$/kWh]"), MATCH(AS81, avoidedCost[Measure Year], 0)) - INDEX(INDIRECT("avoidedCost[" &amp; $T$6 &amp; "_$/kWh]"), MATCH(AT81, avoidedCost[Measure Year], 0))), 0)</f>
        <v>#REF!</v>
      </c>
      <c r="AX81" s="175">
        <f>IF('Lighting Input'!E81='Lookup Tables'!$G$3, INDEX('Lookup Tables'!$G$5:$J$15, MATCH('Lighting Input'!$C$10, 'Lookup Tables'!$F$5:$F$15,0),1), IF('Lighting Input'!E81='Lookup Tables'!$I$3, INDEX('Lookup Tables'!$I$5:$J$15, MATCH('Lighting Input'!$C$10, 'Lookup Tables'!$F$5:$F$15,0),1), 1))</f>
        <v>1</v>
      </c>
      <c r="AY81" s="175">
        <f>IF('Lighting Input'!E81='Lookup Tables'!$G$3, INDEX('Lookup Tables'!$G$5:$J$15, MATCH('Lighting Input'!$C$10, 'Lookup Tables'!$F$5:$F$15,0),2), IF('Lighting Input'!E81='Lookup Tables'!$I$3, INDEX('Lookup Tables'!$I$5:$J$15, MATCH('Lighting Input'!$C$10, 'Lookup Tables'!$F$5:$F$15,0),2), 1))</f>
        <v>1</v>
      </c>
    </row>
    <row r="82" spans="1:51" x14ac:dyDescent="0.2">
      <c r="A82" s="16">
        <v>29</v>
      </c>
      <c r="B82" s="173"/>
      <c r="C82" s="247"/>
      <c r="D82" s="249"/>
      <c r="E82" s="256">
        <f t="shared" si="13"/>
        <v>0</v>
      </c>
      <c r="F82" s="257"/>
      <c r="G82" s="247"/>
      <c r="H82" s="249"/>
      <c r="I82" s="247"/>
      <c r="J82" s="248"/>
      <c r="K82" s="248"/>
      <c r="L82" s="249"/>
      <c r="M82" s="195"/>
      <c r="N82" s="13"/>
      <c r="O82" s="13"/>
      <c r="P82" s="14"/>
      <c r="Q82" s="13"/>
      <c r="R82" s="14"/>
      <c r="S82" s="133"/>
      <c r="T82" s="14"/>
      <c r="U82" s="14"/>
      <c r="V82" s="136">
        <f t="shared" si="5"/>
        <v>0</v>
      </c>
      <c r="W82" s="163">
        <f t="shared" si="6"/>
        <v>0</v>
      </c>
      <c r="X82" s="163">
        <f t="shared" si="7"/>
        <v>0</v>
      </c>
      <c r="Y82" s="167">
        <f t="shared" si="8"/>
        <v>0</v>
      </c>
      <c r="Z82" s="162">
        <f t="shared" si="9"/>
        <v>0</v>
      </c>
      <c r="AA82" s="169">
        <f t="shared" si="14"/>
        <v>0</v>
      </c>
      <c r="AB82" s="213" t="str">
        <f t="shared" si="15"/>
        <v/>
      </c>
      <c r="AC82" s="191">
        <f t="shared" si="16"/>
        <v>0</v>
      </c>
      <c r="AD82" s="189">
        <f t="shared" si="17"/>
        <v>0</v>
      </c>
      <c r="AE82" s="192">
        <f t="shared" si="18"/>
        <v>0</v>
      </c>
      <c r="AF82" s="189">
        <f t="shared" si="10"/>
        <v>0</v>
      </c>
      <c r="AG82" s="193">
        <f t="shared" si="19"/>
        <v>0</v>
      </c>
      <c r="AH82" s="187">
        <f t="shared" si="20"/>
        <v>0</v>
      </c>
      <c r="AI82" s="193">
        <f t="shared" si="21"/>
        <v>0</v>
      </c>
      <c r="AJ82" s="187">
        <f t="shared" si="22"/>
        <v>0</v>
      </c>
      <c r="AK82" s="194">
        <f t="shared" si="11"/>
        <v>0</v>
      </c>
      <c r="AL82" s="156">
        <f t="shared" si="23"/>
        <v>0</v>
      </c>
      <c r="AM82" s="194">
        <f t="shared" si="12"/>
        <v>0</v>
      </c>
      <c r="AN82" s="156">
        <f t="shared" si="24"/>
        <v>0</v>
      </c>
      <c r="AO82" s="208">
        <f t="shared" si="25"/>
        <v>0</v>
      </c>
      <c r="AP82" s="209">
        <f t="shared" si="26"/>
        <v>0</v>
      </c>
      <c r="AQ82" s="208">
        <f t="shared" si="27"/>
        <v>0</v>
      </c>
      <c r="AR82" s="209">
        <f t="shared" si="28"/>
        <v>0</v>
      </c>
      <c r="AS82" s="211">
        <f t="shared" si="29"/>
        <v>0</v>
      </c>
      <c r="AT82" s="212">
        <f t="shared" si="30"/>
        <v>0</v>
      </c>
      <c r="AU82" s="157">
        <f t="shared" si="31"/>
        <v>0</v>
      </c>
      <c r="AV82" s="210" t="e">
        <f ca="1">_xlfn.IFNA(AM82 * AX82 * INDEX(INDIRECT("avoidedCost[" &amp; $T$6 &amp; "_$/kW]"), MATCH(AT82, avoidedCost[Measure Year], 0)) +
AQ82 * AY82 * INDEX(INDIRECT("avoidedCost[" &amp; $T$6 &amp; "_$/kWh]"), MATCH(AT82, avoidedCost[Measure Year], 0)), 0)</f>
        <v>#REF!</v>
      </c>
      <c r="AW82" s="210" t="e">
        <f ca="1">_xlfn.IFNA(AN82 * AX82 * (INDEX(INDIRECT("avoidedCost[" &amp; $T$6 &amp; "_$/kW]"), MATCH(AS82, avoidedCost[Measure Year], 0)) - INDEX(INDIRECT("avoidedCost[" &amp; $T$6 &amp; "_$/kW]"), MATCH(AT82, avoidedCost[Measure Year], 0))) +
AR82 * AY82 * (INDEX(INDIRECT("avoidedCost[" &amp; $T$6 &amp; "_$/kWh]"), MATCH(AS82, avoidedCost[Measure Year], 0)) - INDEX(INDIRECT("avoidedCost[" &amp; $T$6 &amp; "_$/kWh]"), MATCH(AT82, avoidedCost[Measure Year], 0))), 0)</f>
        <v>#REF!</v>
      </c>
      <c r="AX82" s="175">
        <f>IF('Lighting Input'!E82='Lookup Tables'!$G$3, INDEX('Lookup Tables'!$G$5:$J$15, MATCH('Lighting Input'!$C$10, 'Lookup Tables'!$F$5:$F$15,0),1), IF('Lighting Input'!E82='Lookup Tables'!$I$3, INDEX('Lookup Tables'!$I$5:$J$15, MATCH('Lighting Input'!$C$10, 'Lookup Tables'!$F$5:$F$15,0),1), 1))</f>
        <v>1</v>
      </c>
      <c r="AY82" s="175">
        <f>IF('Lighting Input'!E82='Lookup Tables'!$G$3, INDEX('Lookup Tables'!$G$5:$J$15, MATCH('Lighting Input'!$C$10, 'Lookup Tables'!$F$5:$F$15,0),2), IF('Lighting Input'!E82='Lookup Tables'!$I$3, INDEX('Lookup Tables'!$I$5:$J$15, MATCH('Lighting Input'!$C$10, 'Lookup Tables'!$F$5:$F$15,0),2), 1))</f>
        <v>1</v>
      </c>
    </row>
    <row r="83" spans="1:51" x14ac:dyDescent="0.2">
      <c r="A83" s="16">
        <v>30</v>
      </c>
      <c r="B83" s="173"/>
      <c r="C83" s="277"/>
      <c r="D83" s="277"/>
      <c r="E83" s="256">
        <f t="shared" si="13"/>
        <v>0</v>
      </c>
      <c r="F83" s="257"/>
      <c r="G83" s="247"/>
      <c r="H83" s="249"/>
      <c r="I83" s="247"/>
      <c r="J83" s="248"/>
      <c r="K83" s="248"/>
      <c r="L83" s="249"/>
      <c r="M83" s="13"/>
      <c r="N83" s="13"/>
      <c r="O83" s="13"/>
      <c r="P83" s="135"/>
      <c r="Q83" s="188"/>
      <c r="R83" s="14"/>
      <c r="S83" s="14"/>
      <c r="T83" s="14"/>
      <c r="U83" s="14"/>
      <c r="V83" s="136">
        <f t="shared" si="5"/>
        <v>0</v>
      </c>
      <c r="W83" s="163">
        <f t="shared" si="6"/>
        <v>0</v>
      </c>
      <c r="X83" s="163">
        <f t="shared" si="7"/>
        <v>0</v>
      </c>
      <c r="Y83" s="166">
        <f t="shared" si="8"/>
        <v>0</v>
      </c>
      <c r="Z83" s="162">
        <f t="shared" si="9"/>
        <v>0</v>
      </c>
      <c r="AA83" s="169">
        <f t="shared" si="14"/>
        <v>0</v>
      </c>
      <c r="AB83" s="213" t="str">
        <f t="shared" si="15"/>
        <v/>
      </c>
      <c r="AC83" s="191">
        <f t="shared" si="16"/>
        <v>0</v>
      </c>
      <c r="AD83" s="189">
        <f t="shared" si="17"/>
        <v>0</v>
      </c>
      <c r="AE83" s="192">
        <f t="shared" si="18"/>
        <v>0</v>
      </c>
      <c r="AF83" s="189">
        <f t="shared" si="10"/>
        <v>0</v>
      </c>
      <c r="AG83" s="193">
        <f t="shared" si="19"/>
        <v>0</v>
      </c>
      <c r="AH83" s="187">
        <f t="shared" si="20"/>
        <v>0</v>
      </c>
      <c r="AI83" s="193">
        <f t="shared" si="21"/>
        <v>0</v>
      </c>
      <c r="AJ83" s="187">
        <f t="shared" si="22"/>
        <v>0</v>
      </c>
      <c r="AK83" s="194">
        <f t="shared" si="11"/>
        <v>0</v>
      </c>
      <c r="AL83" s="156">
        <f t="shared" si="23"/>
        <v>0</v>
      </c>
      <c r="AM83" s="194">
        <f t="shared" si="12"/>
        <v>0</v>
      </c>
      <c r="AN83" s="156">
        <f t="shared" si="24"/>
        <v>0</v>
      </c>
      <c r="AO83" s="208">
        <f t="shared" si="25"/>
        <v>0</v>
      </c>
      <c r="AP83" s="209">
        <f t="shared" si="26"/>
        <v>0</v>
      </c>
      <c r="AQ83" s="208">
        <f t="shared" si="27"/>
        <v>0</v>
      </c>
      <c r="AR83" s="209">
        <f t="shared" si="28"/>
        <v>0</v>
      </c>
      <c r="AS83" s="211">
        <f t="shared" si="29"/>
        <v>0</v>
      </c>
      <c r="AT83" s="212">
        <f t="shared" si="30"/>
        <v>0</v>
      </c>
      <c r="AU83" s="157">
        <f t="shared" si="31"/>
        <v>0</v>
      </c>
      <c r="AV83" s="210" t="e">
        <f ca="1">_xlfn.IFNA(AM83 * AX83 * INDEX(INDIRECT("avoidedCost[" &amp; $T$6 &amp; "_$/kW]"), MATCH(AT83, avoidedCost[Measure Year], 0)) +
AQ83 * AY83 * INDEX(INDIRECT("avoidedCost[" &amp; $T$6 &amp; "_$/kWh]"), MATCH(AT83, avoidedCost[Measure Year], 0)), 0)</f>
        <v>#REF!</v>
      </c>
      <c r="AW83" s="210" t="e">
        <f ca="1">_xlfn.IFNA(AN83 * AX83 * (INDEX(INDIRECT("avoidedCost[" &amp; $T$6 &amp; "_$/kW]"), MATCH(AS83, avoidedCost[Measure Year], 0)) - INDEX(INDIRECT("avoidedCost[" &amp; $T$6 &amp; "_$/kW]"), MATCH(AT83, avoidedCost[Measure Year], 0))) +
AR83 * AY83 * (INDEX(INDIRECT("avoidedCost[" &amp; $T$6 &amp; "_$/kWh]"), MATCH(AS83, avoidedCost[Measure Year], 0)) - INDEX(INDIRECT("avoidedCost[" &amp; $T$6 &amp; "_$/kWh]"), MATCH(AT83, avoidedCost[Measure Year], 0))), 0)</f>
        <v>#REF!</v>
      </c>
      <c r="AX83" s="175">
        <f>IF('Lighting Input'!E83='Lookup Tables'!$G$3, INDEX('Lookup Tables'!$G$5:$J$15, MATCH('Lighting Input'!$C$10, 'Lookup Tables'!$F$5:$F$15,0),1), IF('Lighting Input'!E83='Lookup Tables'!$I$3, INDEX('Lookup Tables'!$I$5:$J$15, MATCH('Lighting Input'!$C$10, 'Lookup Tables'!$F$5:$F$15,0),1), 1))</f>
        <v>1</v>
      </c>
      <c r="AY83" s="175">
        <f>IF('Lighting Input'!E83='Lookup Tables'!$G$3, INDEX('Lookup Tables'!$G$5:$J$15, MATCH('Lighting Input'!$C$10, 'Lookup Tables'!$F$5:$F$15,0),2), IF('Lighting Input'!E83='Lookup Tables'!$I$3, INDEX('Lookup Tables'!$I$5:$J$15, MATCH('Lighting Input'!$C$10, 'Lookup Tables'!$F$5:$F$15,0),2), 1))</f>
        <v>1</v>
      </c>
    </row>
    <row r="84" spans="1:51" ht="15" x14ac:dyDescent="0.25">
      <c r="B84" s="10"/>
      <c r="C84" s="6"/>
      <c r="D84" s="5"/>
      <c r="E84" s="5"/>
      <c r="F84" s="4"/>
      <c r="G84" s="4"/>
      <c r="H84" s="4"/>
      <c r="I84" s="4"/>
      <c r="M84" s="4"/>
      <c r="N84" s="134"/>
      <c r="O84" s="11"/>
      <c r="P84" s="11"/>
      <c r="Q84" s="11"/>
      <c r="R84" s="174"/>
      <c r="T84" s="11"/>
      <c r="W84" s="164">
        <f>SUM(W54:W83)</f>
        <v>0</v>
      </c>
      <c r="X84" s="164">
        <f>SUM(X54:X83)</f>
        <v>0</v>
      </c>
      <c r="Y84" s="168">
        <f>IFERROR(AVERAGEIF(P54:P83,"&gt;0",Y54:Y83),0)</f>
        <v>0</v>
      </c>
      <c r="Z84" s="165">
        <f>SUM(Z54:Z83)</f>
        <v>0</v>
      </c>
    </row>
    <row r="85" spans="1:51" x14ac:dyDescent="0.2">
      <c r="P85" s="3"/>
      <c r="T85" s="4"/>
    </row>
    <row r="86" spans="1:51" ht="17.25" x14ac:dyDescent="0.35">
      <c r="B86" s="15" t="s">
        <v>186</v>
      </c>
      <c r="O86" s="5"/>
      <c r="Q86" s="12"/>
      <c r="R86" s="12"/>
    </row>
    <row r="87" spans="1:51" x14ac:dyDescent="0.2">
      <c r="B87" s="19" t="s">
        <v>190</v>
      </c>
      <c r="C87" s="19" t="s">
        <v>187</v>
      </c>
      <c r="D87" s="19" t="s">
        <v>188</v>
      </c>
      <c r="O87" s="17"/>
      <c r="Q87" s="12"/>
      <c r="R87" s="12"/>
    </row>
    <row r="88" spans="1:51" x14ac:dyDescent="0.2">
      <c r="B88" s="19" t="s">
        <v>99</v>
      </c>
      <c r="C88" s="185"/>
      <c r="D88" s="185"/>
      <c r="O88" s="17"/>
      <c r="Q88" s="12"/>
      <c r="R88" s="12"/>
    </row>
    <row r="89" spans="1:51" x14ac:dyDescent="0.2">
      <c r="B89" s="19" t="s">
        <v>100</v>
      </c>
      <c r="C89" s="173"/>
      <c r="D89" s="173"/>
      <c r="O89" s="17"/>
      <c r="Q89" s="12"/>
      <c r="R89" s="12"/>
    </row>
    <row r="90" spans="1:51" x14ac:dyDescent="0.2">
      <c r="B90" s="19" t="s">
        <v>101</v>
      </c>
      <c r="C90" s="173"/>
      <c r="D90" s="173"/>
      <c r="O90" s="17"/>
      <c r="Q90" s="12"/>
      <c r="R90" s="12"/>
    </row>
    <row r="91" spans="1:51" x14ac:dyDescent="0.2">
      <c r="B91" s="18"/>
      <c r="C91" s="18"/>
      <c r="D91" s="18"/>
      <c r="O91" s="17"/>
      <c r="Q91" s="12"/>
      <c r="R91" s="12"/>
    </row>
    <row r="92" spans="1:51" x14ac:dyDescent="0.2">
      <c r="B92" s="18"/>
      <c r="C92" s="18"/>
      <c r="D92" s="18"/>
      <c r="O92" s="17"/>
      <c r="Q92" s="12"/>
      <c r="R92" s="12"/>
    </row>
    <row r="93" spans="1:51" ht="17.25" x14ac:dyDescent="0.35">
      <c r="B93" s="15" t="s">
        <v>189</v>
      </c>
      <c r="O93" s="17"/>
      <c r="Q93" s="12"/>
      <c r="R93" s="12"/>
    </row>
    <row r="94" spans="1:51" ht="12.75" customHeight="1" x14ac:dyDescent="0.2">
      <c r="B94" s="238"/>
      <c r="C94" s="239"/>
      <c r="D94" s="239"/>
      <c r="E94" s="239"/>
      <c r="F94" s="239"/>
      <c r="G94" s="239"/>
      <c r="H94" s="239"/>
      <c r="I94" s="239"/>
      <c r="J94" s="239"/>
      <c r="K94" s="239"/>
      <c r="L94" s="239"/>
      <c r="M94" s="240"/>
      <c r="P94" s="3"/>
    </row>
    <row r="95" spans="1:51" ht="12.75" customHeight="1" x14ac:dyDescent="0.2">
      <c r="B95" s="241"/>
      <c r="C95" s="242"/>
      <c r="D95" s="242"/>
      <c r="E95" s="242"/>
      <c r="F95" s="242"/>
      <c r="G95" s="242"/>
      <c r="H95" s="242"/>
      <c r="I95" s="242"/>
      <c r="J95" s="242"/>
      <c r="K95" s="242"/>
      <c r="L95" s="242"/>
      <c r="M95" s="243"/>
      <c r="P95" s="3"/>
    </row>
    <row r="96" spans="1:51" ht="12.75" customHeight="1" x14ac:dyDescent="0.2">
      <c r="B96" s="241"/>
      <c r="C96" s="242"/>
      <c r="D96" s="242"/>
      <c r="E96" s="242"/>
      <c r="F96" s="242"/>
      <c r="G96" s="242"/>
      <c r="H96" s="242"/>
      <c r="I96" s="242"/>
      <c r="J96" s="242"/>
      <c r="K96" s="242"/>
      <c r="L96" s="242"/>
      <c r="M96" s="243"/>
      <c r="P96" s="3"/>
    </row>
    <row r="97" spans="2:16" ht="12.75" customHeight="1" x14ac:dyDescent="0.2">
      <c r="B97" s="241"/>
      <c r="C97" s="242"/>
      <c r="D97" s="242"/>
      <c r="E97" s="242"/>
      <c r="F97" s="242"/>
      <c r="G97" s="242"/>
      <c r="H97" s="242"/>
      <c r="I97" s="242"/>
      <c r="J97" s="242"/>
      <c r="K97" s="242"/>
      <c r="L97" s="242"/>
      <c r="M97" s="243"/>
      <c r="P97" s="3"/>
    </row>
    <row r="98" spans="2:16" ht="12.75" customHeight="1" x14ac:dyDescent="0.2">
      <c r="B98" s="241"/>
      <c r="C98" s="242"/>
      <c r="D98" s="242"/>
      <c r="E98" s="242"/>
      <c r="F98" s="242"/>
      <c r="G98" s="242"/>
      <c r="H98" s="242"/>
      <c r="I98" s="242"/>
      <c r="J98" s="242"/>
      <c r="K98" s="242"/>
      <c r="L98" s="242"/>
      <c r="M98" s="243"/>
    </row>
    <row r="99" spans="2:16" ht="12.75" customHeight="1" x14ac:dyDescent="0.2">
      <c r="B99" s="241"/>
      <c r="C99" s="242"/>
      <c r="D99" s="242"/>
      <c r="E99" s="242"/>
      <c r="F99" s="242"/>
      <c r="G99" s="242"/>
      <c r="H99" s="242"/>
      <c r="I99" s="242"/>
      <c r="J99" s="242"/>
      <c r="K99" s="242"/>
      <c r="L99" s="242"/>
      <c r="M99" s="243"/>
    </row>
    <row r="100" spans="2:16" ht="12.75" customHeight="1" x14ac:dyDescent="0.2">
      <c r="B100" s="241"/>
      <c r="C100" s="242"/>
      <c r="D100" s="242"/>
      <c r="E100" s="242"/>
      <c r="F100" s="242"/>
      <c r="G100" s="242"/>
      <c r="H100" s="242"/>
      <c r="I100" s="242"/>
      <c r="J100" s="242"/>
      <c r="K100" s="242"/>
      <c r="L100" s="242"/>
      <c r="M100" s="243"/>
    </row>
    <row r="101" spans="2:16" ht="12.75" customHeight="1" x14ac:dyDescent="0.2">
      <c r="B101" s="241"/>
      <c r="C101" s="242"/>
      <c r="D101" s="242"/>
      <c r="E101" s="242"/>
      <c r="F101" s="242"/>
      <c r="G101" s="242"/>
      <c r="H101" s="242"/>
      <c r="I101" s="242"/>
      <c r="J101" s="242"/>
      <c r="K101" s="242"/>
      <c r="L101" s="242"/>
      <c r="M101" s="243"/>
    </row>
    <row r="102" spans="2:16" ht="12.75" customHeight="1" x14ac:dyDescent="0.2">
      <c r="B102" s="241"/>
      <c r="C102" s="242"/>
      <c r="D102" s="242"/>
      <c r="E102" s="242"/>
      <c r="F102" s="242"/>
      <c r="G102" s="242"/>
      <c r="H102" s="242"/>
      <c r="I102" s="242"/>
      <c r="J102" s="242"/>
      <c r="K102" s="242"/>
      <c r="L102" s="242"/>
      <c r="M102" s="243"/>
    </row>
    <row r="103" spans="2:16" ht="12.75" customHeight="1" x14ac:dyDescent="0.2">
      <c r="B103" s="244"/>
      <c r="C103" s="245"/>
      <c r="D103" s="245"/>
      <c r="E103" s="245"/>
      <c r="F103" s="245"/>
      <c r="G103" s="245"/>
      <c r="H103" s="245"/>
      <c r="I103" s="245"/>
      <c r="J103" s="245"/>
      <c r="K103" s="245"/>
      <c r="L103" s="245"/>
      <c r="M103" s="246"/>
    </row>
    <row r="106" spans="2:16" ht="17.25" x14ac:dyDescent="0.35">
      <c r="B106" s="15" t="s">
        <v>235</v>
      </c>
    </row>
    <row r="107" spans="2:16" x14ac:dyDescent="0.2">
      <c r="B107" s="2" t="s">
        <v>184</v>
      </c>
      <c r="C107" s="282"/>
      <c r="D107" s="282"/>
    </row>
    <row r="108" spans="2:16" x14ac:dyDescent="0.2">
      <c r="B108" s="2" t="s">
        <v>185</v>
      </c>
      <c r="C108" s="283"/>
      <c r="D108" s="283"/>
    </row>
  </sheetData>
  <sheetProtection algorithmName="SHA-512" hashValue="guozgMXE07b9u0bianwSIuRV4cvYTfLGDZ8A6+xIG6AcOq4pyk6ni2UiBs0YA8N+mbajC7BsT8ildSgf1He7gQ==" saltValue="BvUt2R396HQi9L2qKzKd6A==" spinCount="100000" sheet="1" selectLockedCells="1"/>
  <mergeCells count="300">
    <mergeCell ref="C81:D81"/>
    <mergeCell ref="C72:D72"/>
    <mergeCell ref="C60:D60"/>
    <mergeCell ref="C61:D61"/>
    <mergeCell ref="G55:H55"/>
    <mergeCell ref="C36:D36"/>
    <mergeCell ref="C62:D62"/>
    <mergeCell ref="C63:D63"/>
    <mergeCell ref="C82:D82"/>
    <mergeCell ref="C39:D39"/>
    <mergeCell ref="C40:D40"/>
    <mergeCell ref="C41:D41"/>
    <mergeCell ref="C42:D42"/>
    <mergeCell ref="C43:D43"/>
    <mergeCell ref="C44:D44"/>
    <mergeCell ref="C45:D45"/>
    <mergeCell ref="C46:D46"/>
    <mergeCell ref="C47:D47"/>
    <mergeCell ref="C48:D48"/>
    <mergeCell ref="C73:D73"/>
    <mergeCell ref="C74:D74"/>
    <mergeCell ref="C75:D75"/>
    <mergeCell ref="C76:D76"/>
    <mergeCell ref="C77:D77"/>
    <mergeCell ref="C78:D78"/>
    <mergeCell ref="C79:D79"/>
    <mergeCell ref="C80:D80"/>
    <mergeCell ref="H5:I5"/>
    <mergeCell ref="H6:I6"/>
    <mergeCell ref="F5:G5"/>
    <mergeCell ref="F6:G6"/>
    <mergeCell ref="H10:I10"/>
    <mergeCell ref="G20:H20"/>
    <mergeCell ref="G21:H21"/>
    <mergeCell ref="G22:H22"/>
    <mergeCell ref="C22:D22"/>
    <mergeCell ref="C20:D20"/>
    <mergeCell ref="C21:D21"/>
    <mergeCell ref="C19:D19"/>
    <mergeCell ref="H7:I7"/>
    <mergeCell ref="H8:I8"/>
    <mergeCell ref="F7:G7"/>
    <mergeCell ref="F8:G8"/>
    <mergeCell ref="C5:D5"/>
    <mergeCell ref="C8:D8"/>
    <mergeCell ref="C6:D6"/>
    <mergeCell ref="C12:D12"/>
    <mergeCell ref="F10:G10"/>
    <mergeCell ref="F11:G11"/>
    <mergeCell ref="F13:G13"/>
    <mergeCell ref="C107:D107"/>
    <mergeCell ref="C108:D108"/>
    <mergeCell ref="G71:H71"/>
    <mergeCell ref="G30:H30"/>
    <mergeCell ref="G31:H31"/>
    <mergeCell ref="G32:H32"/>
    <mergeCell ref="G33:H33"/>
    <mergeCell ref="G24:H24"/>
    <mergeCell ref="G25:H25"/>
    <mergeCell ref="G26:H26"/>
    <mergeCell ref="G27:H27"/>
    <mergeCell ref="G28:H28"/>
    <mergeCell ref="G36:H36"/>
    <mergeCell ref="G37:H37"/>
    <mergeCell ref="G38:H38"/>
    <mergeCell ref="G29:H29"/>
    <mergeCell ref="G49:H49"/>
    <mergeCell ref="G53:H53"/>
    <mergeCell ref="G54:H54"/>
    <mergeCell ref="C30:D30"/>
    <mergeCell ref="C55:D55"/>
    <mergeCell ref="C13:D13"/>
    <mergeCell ref="G62:H62"/>
    <mergeCell ref="G63:H63"/>
    <mergeCell ref="G23:H23"/>
    <mergeCell ref="C37:D37"/>
    <mergeCell ref="C38:D38"/>
    <mergeCell ref="C49:D49"/>
    <mergeCell ref="C32:D32"/>
    <mergeCell ref="C33:D33"/>
    <mergeCell ref="C34:D34"/>
    <mergeCell ref="C35:D35"/>
    <mergeCell ref="G34:H34"/>
    <mergeCell ref="G35:H35"/>
    <mergeCell ref="C23:D23"/>
    <mergeCell ref="C24:D24"/>
    <mergeCell ref="C25:D25"/>
    <mergeCell ref="C26:D26"/>
    <mergeCell ref="C27:D27"/>
    <mergeCell ref="C28:D28"/>
    <mergeCell ref="C29:D29"/>
    <mergeCell ref="C57:D57"/>
    <mergeCell ref="C58:D58"/>
    <mergeCell ref="C59:D59"/>
    <mergeCell ref="E26:F26"/>
    <mergeCell ref="E27:F27"/>
    <mergeCell ref="C83:D83"/>
    <mergeCell ref="G72:H72"/>
    <mergeCell ref="G83:H83"/>
    <mergeCell ref="G64:H64"/>
    <mergeCell ref="G65:H65"/>
    <mergeCell ref="G56:H56"/>
    <mergeCell ref="G57:H57"/>
    <mergeCell ref="G58:H58"/>
    <mergeCell ref="G59:H59"/>
    <mergeCell ref="G60:H60"/>
    <mergeCell ref="C65:D65"/>
    <mergeCell ref="C66:D66"/>
    <mergeCell ref="C67:D67"/>
    <mergeCell ref="C68:D68"/>
    <mergeCell ref="C69:D69"/>
    <mergeCell ref="C70:D70"/>
    <mergeCell ref="C71:D71"/>
    <mergeCell ref="G68:H68"/>
    <mergeCell ref="G69:H69"/>
    <mergeCell ref="G70:H70"/>
    <mergeCell ref="C64:D64"/>
    <mergeCell ref="G66:H66"/>
    <mergeCell ref="G67:H67"/>
    <mergeCell ref="C56:D56"/>
    <mergeCell ref="K13:M13"/>
    <mergeCell ref="N13:O13"/>
    <mergeCell ref="C31:D31"/>
    <mergeCell ref="C53:D53"/>
    <mergeCell ref="C54:D54"/>
    <mergeCell ref="G61:H61"/>
    <mergeCell ref="K9:O9"/>
    <mergeCell ref="G39:H39"/>
    <mergeCell ref="G40:H40"/>
    <mergeCell ref="G41:H41"/>
    <mergeCell ref="G42:H42"/>
    <mergeCell ref="G43:H43"/>
    <mergeCell ref="G44:H44"/>
    <mergeCell ref="G45:H45"/>
    <mergeCell ref="G46:H46"/>
    <mergeCell ref="G47:H47"/>
    <mergeCell ref="G48:H48"/>
    <mergeCell ref="H11:I11"/>
    <mergeCell ref="H12:I12"/>
    <mergeCell ref="H13:I13"/>
    <mergeCell ref="H14:I14"/>
    <mergeCell ref="G19:H19"/>
    <mergeCell ref="C11:D11"/>
    <mergeCell ref="F12:G12"/>
    <mergeCell ref="K5:M5"/>
    <mergeCell ref="K6:M6"/>
    <mergeCell ref="K7:M7"/>
    <mergeCell ref="K10:M10"/>
    <mergeCell ref="K11:M11"/>
    <mergeCell ref="K12:M12"/>
    <mergeCell ref="N5:O5"/>
    <mergeCell ref="N6:O6"/>
    <mergeCell ref="N7:O7"/>
    <mergeCell ref="N10:O10"/>
    <mergeCell ref="N11:O11"/>
    <mergeCell ref="N12:O12"/>
    <mergeCell ref="Q5:S5"/>
    <mergeCell ref="T5:U5"/>
    <mergeCell ref="K8:M8"/>
    <mergeCell ref="N8:O8"/>
    <mergeCell ref="Q6:S6"/>
    <mergeCell ref="T6:U6"/>
    <mergeCell ref="F14:G14"/>
    <mergeCell ref="G82:H82"/>
    <mergeCell ref="G73:H73"/>
    <mergeCell ref="G74:H74"/>
    <mergeCell ref="G75:H75"/>
    <mergeCell ref="G76:H76"/>
    <mergeCell ref="G77:H77"/>
    <mergeCell ref="G78:H78"/>
    <mergeCell ref="G79:H79"/>
    <mergeCell ref="G80:H80"/>
    <mergeCell ref="G81:H81"/>
    <mergeCell ref="E19:F19"/>
    <mergeCell ref="E20:F20"/>
    <mergeCell ref="E21:F21"/>
    <mergeCell ref="E22:F22"/>
    <mergeCell ref="E23:F23"/>
    <mergeCell ref="E24:F24"/>
    <mergeCell ref="E25:F25"/>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68:F68"/>
    <mergeCell ref="E78:F78"/>
    <mergeCell ref="E79:F79"/>
    <mergeCell ref="E80:F80"/>
    <mergeCell ref="E81:F81"/>
    <mergeCell ref="E82:F82"/>
    <mergeCell ref="E83:F83"/>
    <mergeCell ref="E69:F69"/>
    <mergeCell ref="E70:F70"/>
    <mergeCell ref="E71:F71"/>
    <mergeCell ref="E72:F72"/>
    <mergeCell ref="E73:F73"/>
    <mergeCell ref="E74:F74"/>
    <mergeCell ref="E75:F75"/>
    <mergeCell ref="E76:F76"/>
    <mergeCell ref="E77:F77"/>
    <mergeCell ref="E63:F63"/>
    <mergeCell ref="E64:F64"/>
    <mergeCell ref="E65:F65"/>
    <mergeCell ref="E66:F66"/>
    <mergeCell ref="E46:F46"/>
    <mergeCell ref="E47:F47"/>
    <mergeCell ref="E48:F48"/>
    <mergeCell ref="E49:F49"/>
    <mergeCell ref="E53:F53"/>
    <mergeCell ref="E54:F54"/>
    <mergeCell ref="E55:F55"/>
    <mergeCell ref="E56:F56"/>
    <mergeCell ref="E57:F57"/>
    <mergeCell ref="I74:L74"/>
    <mergeCell ref="I58:L58"/>
    <mergeCell ref="I59:L59"/>
    <mergeCell ref="I60:L60"/>
    <mergeCell ref="I61:L61"/>
    <mergeCell ref="I62:L62"/>
    <mergeCell ref="I63:L63"/>
    <mergeCell ref="I64:L64"/>
    <mergeCell ref="I65:L65"/>
    <mergeCell ref="I66:L66"/>
    <mergeCell ref="I73:L73"/>
    <mergeCell ref="I47:L47"/>
    <mergeCell ref="I48:L48"/>
    <mergeCell ref="I49:L49"/>
    <mergeCell ref="I53:L53"/>
    <mergeCell ref="I54:L54"/>
    <mergeCell ref="I29:L29"/>
    <mergeCell ref="I30:L30"/>
    <mergeCell ref="I31:L31"/>
    <mergeCell ref="I32:L32"/>
    <mergeCell ref="I33:L33"/>
    <mergeCell ref="I34:L34"/>
    <mergeCell ref="I35:L35"/>
    <mergeCell ref="I36:L36"/>
    <mergeCell ref="I45:L45"/>
    <mergeCell ref="C2:Z2"/>
    <mergeCell ref="I67:L67"/>
    <mergeCell ref="I68:L68"/>
    <mergeCell ref="I69:L69"/>
    <mergeCell ref="I70:L70"/>
    <mergeCell ref="I71:L71"/>
    <mergeCell ref="I72:L72"/>
    <mergeCell ref="I19:L19"/>
    <mergeCell ref="I20:L20"/>
    <mergeCell ref="I21:L21"/>
    <mergeCell ref="I22:L22"/>
    <mergeCell ref="I23:L23"/>
    <mergeCell ref="I24:L24"/>
    <mergeCell ref="I25:L25"/>
    <mergeCell ref="I26:L26"/>
    <mergeCell ref="I27:L27"/>
    <mergeCell ref="E67:F67"/>
    <mergeCell ref="E58:F58"/>
    <mergeCell ref="E59:F59"/>
    <mergeCell ref="E60:F60"/>
    <mergeCell ref="E61:F61"/>
    <mergeCell ref="E62:F62"/>
    <mergeCell ref="C14:D14"/>
    <mergeCell ref="I46:L46"/>
    <mergeCell ref="C9:D9"/>
    <mergeCell ref="B94:M103"/>
    <mergeCell ref="C7:D7"/>
    <mergeCell ref="I76:L76"/>
    <mergeCell ref="I77:L77"/>
    <mergeCell ref="I78:L78"/>
    <mergeCell ref="I79:L79"/>
    <mergeCell ref="I80:L80"/>
    <mergeCell ref="I81:L81"/>
    <mergeCell ref="I82:L82"/>
    <mergeCell ref="I83:L83"/>
    <mergeCell ref="I75:L75"/>
    <mergeCell ref="I55:L55"/>
    <mergeCell ref="I56:L56"/>
    <mergeCell ref="I57:L57"/>
    <mergeCell ref="I37:L37"/>
    <mergeCell ref="I38:L38"/>
    <mergeCell ref="I39:L39"/>
    <mergeCell ref="I40:L40"/>
    <mergeCell ref="I41:L41"/>
    <mergeCell ref="I42:L42"/>
    <mergeCell ref="I43:L43"/>
    <mergeCell ref="I44:L44"/>
    <mergeCell ref="I28:L28"/>
  </mergeCells>
  <conditionalFormatting sqref="Y20:Y49 W20:W49 X54:X83 Z54:Z83">
    <cfRule type="containsText" dxfId="32" priority="21" operator="containsText" text="Error">
      <formula>NOT(ISERROR(SEARCH("Error",W20)))</formula>
    </cfRule>
  </conditionalFormatting>
  <conditionalFormatting sqref="K9">
    <cfRule type="containsText" dxfId="31" priority="14" operator="containsText" text="Rebate Amount Limited to 50% of Project Cost">
      <formula>NOT(ISERROR(SEARCH("Rebate Amount Limited to 50% of Project Cost",K9)))</formula>
    </cfRule>
  </conditionalFormatting>
  <conditionalFormatting sqref="D10">
    <cfRule type="expression" dxfId="30" priority="9">
      <formula>AND($C$10&gt;0, ISBLANK($D$10))</formula>
    </cfRule>
  </conditionalFormatting>
  <conditionalFormatting sqref="H7:I7">
    <cfRule type="containsText" dxfId="29" priority="8" operator="containsText" text="Choose Rate">
      <formula>NOT(ISERROR(SEARCH("Choose Rate",H7)))</formula>
    </cfRule>
  </conditionalFormatting>
  <conditionalFormatting sqref="H8:I8">
    <cfRule type="containsText" dxfId="28" priority="7" operator="containsText" text="Choose Island">
      <formula>NOT(ISERROR(SEARCH("Choose Island",H8)))</formula>
    </cfRule>
  </conditionalFormatting>
  <conditionalFormatting sqref="N5:O7">
    <cfRule type="containsText" dxfId="27" priority="4" operator="containsText" text="Enter A/C Info">
      <formula>NOT(ISERROR(SEARCH("Enter A/C Info",N5)))</formula>
    </cfRule>
  </conditionalFormatting>
  <conditionalFormatting sqref="Q55:Q83">
    <cfRule type="expression" dxfId="26" priority="3">
      <formula>AND($E55="Omni/Directional, Decorative", ISBLANK($Q55))</formula>
    </cfRule>
  </conditionalFormatting>
  <conditionalFormatting sqref="N5:O8">
    <cfRule type="containsText" dxfId="25" priority="2" operator="containsText" text="Check Inputs">
      <formula>NOT(ISERROR(SEARCH("Check Inputs",N5)))</formula>
    </cfRule>
  </conditionalFormatting>
  <conditionalFormatting sqref="Q54">
    <cfRule type="expression" dxfId="24" priority="1">
      <formula>AND($E54="Omni/Directional, Decorative", ISBLANK($Q54))</formula>
    </cfRule>
  </conditionalFormatting>
  <dataValidations count="8">
    <dataValidation type="list" allowBlank="1" showInputMessage="1" showErrorMessage="1" sqref="B54:B83 B20:B49" xr:uid="{00000000-0002-0000-0100-000000000000}">
      <formula1>Lookup_Location</formula1>
    </dataValidation>
    <dataValidation type="list" allowBlank="1" showInputMessage="1" showErrorMessage="1" sqref="G20:G49 G54:G83" xr:uid="{00000000-0002-0000-0100-000001000000}">
      <formula1>Lookup_FixtureType</formula1>
    </dataValidation>
    <dataValidation type="list" allowBlank="1" showInputMessage="1" showErrorMessage="1" sqref="C8:D8" xr:uid="{00000000-0002-0000-0100-000002000000}">
      <formula1>Lookup_Island</formula1>
    </dataValidation>
    <dataValidation type="list" allowBlank="1" showInputMessage="1" showErrorMessage="1" sqref="C9" xr:uid="{00000000-0002-0000-0100-000003000000}">
      <formula1>Lookup_RateSchedule</formula1>
    </dataValidation>
    <dataValidation type="list" allowBlank="1" showInputMessage="1" showErrorMessage="1" sqref="D10" xr:uid="{00000000-0002-0000-0100-000004000000}">
      <formula1>Lookup_AC</formula1>
    </dataValidation>
    <dataValidation type="list" allowBlank="1" showInputMessage="1" showErrorMessage="1" sqref="C7:D7" xr:uid="{00000000-0002-0000-0100-000005000000}">
      <formula1>Project_Type</formula1>
    </dataValidation>
    <dataValidation type="custom" allowBlank="1" showInputMessage="1" showErrorMessage="1" prompt="Lumen output is only required for &quot;Omni/Directional, Decorative&quot; Fixture Group. " sqref="Q55:Q83" xr:uid="{00000000-0002-0000-0100-000006000000}">
      <formula1>$E21="Omni/Directional, Decorative"</formula1>
    </dataValidation>
    <dataValidation type="custom" errorStyle="information" allowBlank="1" showInputMessage="1" showErrorMessage="1" error="Lumen Output not required for this Fixture Group" prompt="Lumen output is only required for &quot;Omni/Directional, Decorative&quot; Fixture Group. " sqref="Q54" xr:uid="{00000000-0002-0000-0100-000007000000}">
      <formula1>$E20="Omni/Directional, Decorative"</formula1>
    </dataValidation>
  </dataValidations>
  <pageMargins left="0.7" right="0.7" top="0.75" bottom="0.75" header="0.3" footer="0.3"/>
  <pageSetup scale="40" fitToHeight="0" orientation="landscape" r:id="rId1"/>
  <rowBreaks count="1" manualBreakCount="1">
    <brk id="84" max="16383" man="1"/>
  </rowBreaks>
  <ignoredErrors>
    <ignoredError sqref="Y84 X50 AN54:AN83" 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8000000}">
          <x14:formula1>
            <xm:f>'Lookup Tables'!$D$11:$D$21</xm:f>
          </x14:formula1>
          <xm:sqref>C10</xm:sqref>
        </x14:dataValidation>
        <x14:dataValidation type="list" allowBlank="1" showInputMessage="1" showErrorMessage="1" xr:uid="{3DAF74C6-1B27-4565-82FF-11568E87051A}">
          <x14:formula1>
            <xm:f>'Lookup Tables'!$B$27:$B$28</xm:f>
          </x14:formula1>
          <xm:sqref>C14:D14</xm:sqref>
        </x14:dataValidation>
        <x14:dataValidation type="list" allowBlank="1" showInputMessage="1" showErrorMessage="1" xr:uid="{00000000-0002-0000-0100-000009000000}">
          <x14:formula1>
            <xm:f>'Lookup Tables'!$F$18:$F$19</xm:f>
          </x14:formula1>
          <xm:sqref>E20:F49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R43"/>
  <sheetViews>
    <sheetView showGridLines="0" zoomScaleNormal="100" workbookViewId="0">
      <selection activeCell="G27" sqref="G27"/>
    </sheetView>
  </sheetViews>
  <sheetFormatPr defaultColWidth="20.7109375" defaultRowHeight="17.25" x14ac:dyDescent="0.25"/>
  <cols>
    <col min="1" max="1" width="1.7109375" style="72" customWidth="1"/>
    <col min="2" max="2" width="4.28515625" style="72" bestFit="1" customWidth="1"/>
    <col min="3" max="3" width="0.7109375" style="72" customWidth="1"/>
    <col min="4" max="4" width="51.42578125" style="87" bestFit="1" customWidth="1"/>
    <col min="5" max="5" width="5.7109375" style="72" customWidth="1"/>
    <col min="6" max="16384" width="20.7109375" style="72"/>
  </cols>
  <sheetData>
    <row r="2" spans="2:18" s="66" customFormat="1" ht="15" customHeight="1" x14ac:dyDescent="0.25">
      <c r="D2" s="67"/>
      <c r="F2" s="68" t="s">
        <v>105</v>
      </c>
    </row>
    <row r="3" spans="2:18" s="69" customFormat="1" ht="15" x14ac:dyDescent="0.25">
      <c r="D3" s="70"/>
      <c r="F3" s="71" t="s">
        <v>13</v>
      </c>
      <c r="G3" s="71" t="s">
        <v>14</v>
      </c>
      <c r="H3" s="71" t="s">
        <v>15</v>
      </c>
      <c r="I3" s="66"/>
      <c r="J3" s="66"/>
      <c r="K3" s="66"/>
    </row>
    <row r="4" spans="2:18" x14ac:dyDescent="0.25">
      <c r="D4" s="73" t="s">
        <v>193</v>
      </c>
      <c r="E4" s="74" t="s">
        <v>16</v>
      </c>
      <c r="F4" s="74" t="s">
        <v>86</v>
      </c>
      <c r="G4" s="74" t="s">
        <v>17</v>
      </c>
      <c r="H4" s="75">
        <f>IFERROR(Area,0)</f>
        <v>0</v>
      </c>
      <c r="I4" s="66"/>
      <c r="J4" s="66"/>
      <c r="K4" s="66"/>
    </row>
    <row r="5" spans="2:18" ht="10.15" customHeight="1" thickBot="1" x14ac:dyDescent="0.3">
      <c r="D5" s="76"/>
      <c r="E5" s="76"/>
      <c r="F5" s="76"/>
      <c r="G5" s="76"/>
      <c r="H5" s="76"/>
      <c r="I5" s="66"/>
      <c r="J5" s="66"/>
      <c r="K5" s="66"/>
      <c r="L5" s="76"/>
      <c r="M5" s="76"/>
      <c r="N5" s="76"/>
      <c r="O5" s="76"/>
      <c r="P5" s="76"/>
      <c r="Q5" s="76"/>
      <c r="R5" s="76"/>
    </row>
    <row r="6" spans="2:18" s="77" customFormat="1" ht="15" x14ac:dyDescent="0.25">
      <c r="B6" s="297" t="s">
        <v>20</v>
      </c>
      <c r="D6" s="70"/>
      <c r="F6" s="71" t="s">
        <v>229</v>
      </c>
      <c r="G6" s="71" t="s">
        <v>12</v>
      </c>
      <c r="I6" s="66"/>
      <c r="J6" s="66"/>
      <c r="K6" s="66"/>
    </row>
    <row r="7" spans="2:18" ht="17.25" customHeight="1" x14ac:dyDescent="0.25">
      <c r="B7" s="298"/>
      <c r="C7" s="78"/>
      <c r="D7" s="73" t="s">
        <v>104</v>
      </c>
      <c r="E7" s="74" t="s">
        <v>18</v>
      </c>
      <c r="F7" s="79" t="s">
        <v>138</v>
      </c>
      <c r="G7" s="74">
        <f>YearCompleted</f>
        <v>0</v>
      </c>
    </row>
    <row r="8" spans="2:18" x14ac:dyDescent="0.25">
      <c r="B8" s="298"/>
      <c r="C8" s="78"/>
      <c r="D8" s="73" t="s">
        <v>223</v>
      </c>
      <c r="E8" s="74" t="s">
        <v>19</v>
      </c>
      <c r="F8" s="79" t="s">
        <v>138</v>
      </c>
      <c r="G8" s="80" t="str">
        <f>MeasureLife</f>
        <v/>
      </c>
    </row>
    <row r="9" spans="2:18" x14ac:dyDescent="0.25">
      <c r="B9" s="298"/>
      <c r="C9" s="78"/>
      <c r="D9" s="73" t="s">
        <v>228</v>
      </c>
      <c r="E9" s="74" t="s">
        <v>136</v>
      </c>
      <c r="F9" s="81" t="str">
        <f>Base_OperatingHours</f>
        <v>0.0</v>
      </c>
      <c r="G9" s="81">
        <f>Enhanced_OperatingHours</f>
        <v>0</v>
      </c>
    </row>
    <row r="10" spans="2:18" x14ac:dyDescent="0.25">
      <c r="B10" s="298"/>
      <c r="C10" s="78"/>
      <c r="D10" s="73" t="s">
        <v>227</v>
      </c>
      <c r="E10" s="74" t="s">
        <v>21</v>
      </c>
      <c r="F10" s="121">
        <f>Base_TotalDemand</f>
        <v>0</v>
      </c>
      <c r="G10" s="121">
        <f>Enhanced_TotalDemand</f>
        <v>0</v>
      </c>
    </row>
    <row r="11" spans="2:18" x14ac:dyDescent="0.25">
      <c r="B11" s="298"/>
      <c r="C11" s="78"/>
      <c r="D11" s="73" t="s">
        <v>226</v>
      </c>
      <c r="E11" s="74" t="s">
        <v>22</v>
      </c>
      <c r="F11" s="121" t="str">
        <f>IFERROR(F13/F9," 0.0 kW")</f>
        <v xml:space="preserve"> 0.0 kW</v>
      </c>
      <c r="G11" s="121" t="str">
        <f>IFERROR(G13/G9, "0.0 kW")</f>
        <v>0.0 kW</v>
      </c>
      <c r="H11" s="71" t="str">
        <f>IF('Lighting Input'!D10="Air-Conditioned", "Incremental Change*", "Incremental Change")</f>
        <v>Incremental Change</v>
      </c>
      <c r="I11" s="71" t="s">
        <v>23</v>
      </c>
      <c r="J11" s="71" t="s">
        <v>24</v>
      </c>
    </row>
    <row r="12" spans="2:18" x14ac:dyDescent="0.25">
      <c r="B12" s="298"/>
      <c r="C12" s="78"/>
      <c r="D12" s="73" t="s">
        <v>197</v>
      </c>
      <c r="E12" s="74" t="s">
        <v>25</v>
      </c>
      <c r="F12" s="121">
        <f>Base_PeakDemand</f>
        <v>0</v>
      </c>
      <c r="G12" s="121">
        <f>Enhanced_PeakDemand</f>
        <v>0</v>
      </c>
      <c r="H12" s="121" t="str">
        <f>'Lighting Input'!N5</f>
        <v>Enter A/C Info</v>
      </c>
      <c r="I12" s="82">
        <f>DemandIncentive</f>
        <v>125</v>
      </c>
      <c r="J12" s="83">
        <f>IFERROR(H12*I12, 0)</f>
        <v>0</v>
      </c>
      <c r="K12" s="84" t="s">
        <v>27</v>
      </c>
    </row>
    <row r="13" spans="2:18" x14ac:dyDescent="0.25">
      <c r="B13" s="298"/>
      <c r="C13" s="78"/>
      <c r="D13" s="73" t="s">
        <v>224</v>
      </c>
      <c r="E13" s="74" t="s">
        <v>26</v>
      </c>
      <c r="F13" s="120">
        <f>Base_Energy</f>
        <v>0</v>
      </c>
      <c r="G13" s="120">
        <f>Enhanced_Energy</f>
        <v>0</v>
      </c>
      <c r="H13" s="120" t="str">
        <f>FirstYearEnergySavings</f>
        <v>Enter A/C Info</v>
      </c>
      <c r="I13" s="85">
        <f>EnergyIncentive</f>
        <v>0.12</v>
      </c>
      <c r="J13" s="83">
        <f>IFERROR(H13*I13, 0)</f>
        <v>0</v>
      </c>
      <c r="K13" s="84" t="s">
        <v>30</v>
      </c>
    </row>
    <row r="14" spans="2:18" ht="18" thickBot="1" x14ac:dyDescent="0.3">
      <c r="B14" s="299"/>
      <c r="C14" s="78"/>
      <c r="D14" s="73" t="s">
        <v>225</v>
      </c>
      <c r="E14" s="74" t="s">
        <v>28</v>
      </c>
      <c r="F14" s="130">
        <f>F13/12</f>
        <v>0</v>
      </c>
      <c r="G14" s="130">
        <f>G13/12</f>
        <v>0</v>
      </c>
      <c r="H14" s="130">
        <f>IFERROR(H13/12, 0)</f>
        <v>0</v>
      </c>
      <c r="J14" s="83">
        <f>J12+J13</f>
        <v>0</v>
      </c>
      <c r="K14" s="84" t="s">
        <v>113</v>
      </c>
    </row>
    <row r="15" spans="2:18" ht="10.15" customHeight="1" thickBot="1" x14ac:dyDescent="0.3">
      <c r="B15" s="86"/>
      <c r="C15" s="86"/>
      <c r="D15" s="76"/>
      <c r="E15" s="76"/>
      <c r="F15" s="76"/>
      <c r="G15" s="76"/>
      <c r="H15" s="126" t="str">
        <f>IF(H11="Incremental Change*", "*Interactive Factor included", "")</f>
        <v/>
      </c>
      <c r="I15" s="76"/>
      <c r="J15" s="76"/>
      <c r="K15" s="76"/>
      <c r="L15" s="76"/>
      <c r="M15" s="76"/>
    </row>
    <row r="16" spans="2:18" ht="17.25" customHeight="1" x14ac:dyDescent="0.25">
      <c r="B16" s="300" t="s">
        <v>33</v>
      </c>
      <c r="F16" s="71" t="s">
        <v>229</v>
      </c>
      <c r="G16" s="71" t="s">
        <v>12</v>
      </c>
      <c r="H16" s="71" t="str">
        <f>IF('Lighting Input'!D10="Air-Conditioned", "Incremental Change*", "Incremental Change")</f>
        <v>Incremental Change</v>
      </c>
      <c r="I16" s="71" t="s">
        <v>72</v>
      </c>
      <c r="K16" s="84"/>
    </row>
    <row r="17" spans="2:13" ht="17.25" customHeight="1" x14ac:dyDescent="0.25">
      <c r="B17" s="301"/>
      <c r="C17" s="78"/>
      <c r="D17" s="88" t="s">
        <v>107</v>
      </c>
      <c r="E17" s="74" t="s">
        <v>29</v>
      </c>
      <c r="F17" s="89">
        <f>IFERROR(F10*$I$17, 0)</f>
        <v>0</v>
      </c>
      <c r="G17" s="89">
        <f>IFERROR(G10*$I$17, 0)</f>
        <v>0</v>
      </c>
      <c r="H17" s="90">
        <f>IFERROR(H12*I17, 0)</f>
        <v>0</v>
      </c>
      <c r="I17" s="82" t="str">
        <f>EffectiveDemandRate</f>
        <v>Choose Rate</v>
      </c>
      <c r="K17" s="84"/>
    </row>
    <row r="18" spans="2:13" x14ac:dyDescent="0.25">
      <c r="B18" s="301"/>
      <c r="C18" s="78"/>
      <c r="D18" s="88" t="s">
        <v>108</v>
      </c>
      <c r="E18" s="74" t="s">
        <v>31</v>
      </c>
      <c r="F18" s="89">
        <f>IFERROR(F14*$I$18,0)</f>
        <v>0</v>
      </c>
      <c r="G18" s="89">
        <f>IFERROR(G14*$I$18,0)</f>
        <v>0</v>
      </c>
      <c r="H18" s="89">
        <f>IFERROR(H14*I18, 0)</f>
        <v>0</v>
      </c>
      <c r="I18" s="85" t="str">
        <f>EffectiveEnergyRate</f>
        <v>Choose Island</v>
      </c>
      <c r="K18" s="84"/>
    </row>
    <row r="19" spans="2:13" x14ac:dyDescent="0.25">
      <c r="B19" s="301"/>
      <c r="C19" s="78"/>
      <c r="D19" s="88" t="s">
        <v>109</v>
      </c>
      <c r="E19" s="74" t="s">
        <v>32</v>
      </c>
      <c r="F19" s="89">
        <f>(F17+F18)*12</f>
        <v>0</v>
      </c>
      <c r="G19" s="89">
        <f>(G17+G18)*12</f>
        <v>0</v>
      </c>
      <c r="H19" s="89">
        <f>(H17+H18)*12</f>
        <v>0</v>
      </c>
      <c r="K19" s="84"/>
    </row>
    <row r="20" spans="2:13" x14ac:dyDescent="0.25">
      <c r="B20" s="301"/>
      <c r="C20" s="86"/>
      <c r="D20" s="73" t="s">
        <v>106</v>
      </c>
      <c r="E20" s="74" t="s">
        <v>34</v>
      </c>
      <c r="F20" s="89">
        <f>Base_MaintenanceCost</f>
        <v>0</v>
      </c>
      <c r="G20" s="89">
        <f>Enhanced_MaintenanceCost</f>
        <v>0</v>
      </c>
      <c r="H20" s="89">
        <f>F20-G20</f>
        <v>0</v>
      </c>
      <c r="K20" s="84"/>
    </row>
    <row r="21" spans="2:13" x14ac:dyDescent="0.25">
      <c r="B21" s="301"/>
      <c r="C21" s="86"/>
      <c r="D21" s="73" t="s">
        <v>234</v>
      </c>
      <c r="E21" s="74"/>
      <c r="F21" s="89">
        <f>F19+F20</f>
        <v>0</v>
      </c>
      <c r="G21" s="89">
        <f>G19+G20</f>
        <v>0</v>
      </c>
      <c r="H21" s="89">
        <f>H19+H20</f>
        <v>0</v>
      </c>
      <c r="K21" s="84"/>
    </row>
    <row r="22" spans="2:13" ht="10.15" customHeight="1" x14ac:dyDescent="0.25">
      <c r="B22" s="301"/>
      <c r="D22" s="72"/>
      <c r="H22" s="128" t="str">
        <f>IF(H11="Incremental Change*", "*Interactive Factor included", "")</f>
        <v/>
      </c>
      <c r="K22" s="84"/>
    </row>
    <row r="23" spans="2:13" x14ac:dyDescent="0.25">
      <c r="B23" s="301"/>
      <c r="C23" s="78"/>
      <c r="D23" s="88" t="s">
        <v>11</v>
      </c>
      <c r="E23" s="74" t="s">
        <v>35</v>
      </c>
      <c r="F23" s="76"/>
      <c r="G23" s="90">
        <f>TotalProjectCost</f>
        <v>0</v>
      </c>
      <c r="H23" s="89">
        <f>G23</f>
        <v>0</v>
      </c>
      <c r="K23" s="84"/>
    </row>
    <row r="24" spans="2:13" ht="18" thickBot="1" x14ac:dyDescent="0.3">
      <c r="B24" s="302"/>
      <c r="C24" s="86"/>
      <c r="D24" s="73" t="s">
        <v>206</v>
      </c>
      <c r="E24" s="74" t="s">
        <v>36</v>
      </c>
      <c r="F24" s="76"/>
      <c r="G24" s="90">
        <f>G23-F30</f>
        <v>0</v>
      </c>
      <c r="H24" s="89">
        <f>G24</f>
        <v>0</v>
      </c>
      <c r="K24" s="84"/>
    </row>
    <row r="25" spans="2:13" ht="10.15" customHeight="1" thickBot="1" x14ac:dyDescent="0.3">
      <c r="B25" s="86"/>
      <c r="C25" s="86"/>
      <c r="D25" s="76"/>
      <c r="E25" s="76"/>
      <c r="F25" s="76"/>
      <c r="G25" s="76"/>
      <c r="H25" s="76"/>
      <c r="I25" s="76"/>
      <c r="J25" s="76"/>
      <c r="K25" s="84"/>
    </row>
    <row r="26" spans="2:13" ht="30" x14ac:dyDescent="0.25">
      <c r="B26" s="294" t="s">
        <v>139</v>
      </c>
      <c r="E26" s="91"/>
      <c r="F26" s="92" t="s">
        <v>43</v>
      </c>
      <c r="G26" s="92" t="s">
        <v>112</v>
      </c>
      <c r="H26" s="92" t="s">
        <v>40</v>
      </c>
      <c r="I26" s="92" t="s">
        <v>42</v>
      </c>
      <c r="J26" s="92" t="s">
        <v>41</v>
      </c>
      <c r="M26" s="84"/>
    </row>
    <row r="27" spans="2:13" ht="17.25" customHeight="1" x14ac:dyDescent="0.25">
      <c r="B27" s="295"/>
      <c r="C27" s="78"/>
      <c r="D27" s="88" t="s">
        <v>116</v>
      </c>
      <c r="E27" s="74" t="s">
        <v>37</v>
      </c>
      <c r="F27" s="93">
        <f ca="1">IFERROR(I27/J27,0)</f>
        <v>0</v>
      </c>
      <c r="G27" s="94" t="str">
        <f ca="1">IF(F27&gt;=1,"Pass","Fail")</f>
        <v>Fail</v>
      </c>
      <c r="H27" s="95">
        <f>IFERROR(G8/F34,0)</f>
        <v>0</v>
      </c>
      <c r="I27" s="89" t="str">
        <f ca="1">IF(ISNUMBER(MATCH("Error: Check Inputs", 'Lighting Input'!$AB$54:$AB$83, 0)), "Check Inputs", IFERROR(SUM('Lighting Input'!AV54:AW83), ""))</f>
        <v/>
      </c>
      <c r="J27" s="89">
        <f>G23</f>
        <v>0</v>
      </c>
      <c r="M27" s="84"/>
    </row>
    <row r="28" spans="2:13" x14ac:dyDescent="0.25">
      <c r="B28" s="295"/>
      <c r="C28" s="86"/>
      <c r="D28" s="96" t="s">
        <v>209</v>
      </c>
      <c r="K28" s="91"/>
      <c r="M28" s="84"/>
    </row>
    <row r="29" spans="2:13" x14ac:dyDescent="0.25">
      <c r="B29" s="295"/>
      <c r="C29" s="86"/>
      <c r="F29" s="97" t="s">
        <v>114</v>
      </c>
      <c r="G29" s="71" t="s">
        <v>115</v>
      </c>
      <c r="H29" s="97" t="s">
        <v>113</v>
      </c>
      <c r="I29" s="97" t="s">
        <v>11</v>
      </c>
      <c r="K29" s="91"/>
      <c r="M29" s="84"/>
    </row>
    <row r="30" spans="2:13" x14ac:dyDescent="0.25">
      <c r="B30" s="295"/>
      <c r="C30" s="86"/>
      <c r="D30" s="73" t="s">
        <v>137</v>
      </c>
      <c r="E30" s="74" t="s">
        <v>38</v>
      </c>
      <c r="F30" s="98">
        <f>'Lighting Input'!N13</f>
        <v>0</v>
      </c>
      <c r="G30" s="74" t="str">
        <f>IF(AND(H30&lt;=(0.5*I30), H30&gt;0),"Pass","Limit to 50%")</f>
        <v>Limit to 50%</v>
      </c>
      <c r="H30" s="89">
        <f>J14</f>
        <v>0</v>
      </c>
      <c r="I30" s="89">
        <f>TotalProjectCost</f>
        <v>0</v>
      </c>
      <c r="K30" s="91"/>
      <c r="M30" s="84"/>
    </row>
    <row r="31" spans="2:13" x14ac:dyDescent="0.25">
      <c r="B31" s="295"/>
      <c r="C31" s="86"/>
      <c r="D31" s="96" t="s">
        <v>213</v>
      </c>
      <c r="F31" s="99" t="s">
        <v>195</v>
      </c>
      <c r="G31" s="100" t="str">
        <f>IFERROR(F30/I30,"%")</f>
        <v>%</v>
      </c>
      <c r="H31" s="96" t="s">
        <v>196</v>
      </c>
      <c r="K31" s="91"/>
      <c r="M31" s="84"/>
    </row>
    <row r="32" spans="2:13" x14ac:dyDescent="0.25">
      <c r="B32" s="295"/>
      <c r="C32" s="86"/>
      <c r="D32" s="96"/>
      <c r="K32" s="91"/>
      <c r="M32" s="84"/>
    </row>
    <row r="33" spans="2:13" x14ac:dyDescent="0.25">
      <c r="B33" s="295"/>
      <c r="C33" s="86"/>
      <c r="F33" s="97" t="s">
        <v>39</v>
      </c>
      <c r="G33" s="97" t="s">
        <v>112</v>
      </c>
      <c r="H33" s="97" t="s">
        <v>110</v>
      </c>
      <c r="I33" s="97" t="s">
        <v>111</v>
      </c>
      <c r="M33" s="84"/>
    </row>
    <row r="34" spans="2:13" x14ac:dyDescent="0.25">
      <c r="B34" s="295"/>
      <c r="C34" s="78"/>
      <c r="D34" s="88" t="s">
        <v>117</v>
      </c>
      <c r="E34" s="74" t="s">
        <v>210</v>
      </c>
      <c r="F34" s="101">
        <f>IFERROR(I34/H34,0)</f>
        <v>0</v>
      </c>
      <c r="G34" s="94" t="str">
        <f>IF(F34&gt;=0.5,"Pass","Fail")</f>
        <v>Fail</v>
      </c>
      <c r="H34" s="89">
        <f>H21</f>
        <v>0</v>
      </c>
      <c r="I34" s="89">
        <f>G23</f>
        <v>0</v>
      </c>
    </row>
    <row r="35" spans="2:13" x14ac:dyDescent="0.25">
      <c r="B35" s="295"/>
      <c r="C35" s="86"/>
      <c r="D35" s="96" t="s">
        <v>214</v>
      </c>
      <c r="E35" s="91"/>
      <c r="F35" s="102" t="s">
        <v>207</v>
      </c>
      <c r="G35" s="91"/>
      <c r="H35" s="103"/>
      <c r="I35" s="103"/>
      <c r="M35" s="84"/>
    </row>
    <row r="36" spans="2:13" x14ac:dyDescent="0.25">
      <c r="B36" s="295"/>
      <c r="C36" s="86"/>
      <c r="D36" s="96"/>
      <c r="E36" s="91"/>
      <c r="F36" s="102"/>
      <c r="G36" s="91"/>
      <c r="H36" s="103"/>
      <c r="I36" s="103"/>
      <c r="M36" s="84"/>
    </row>
    <row r="37" spans="2:13" x14ac:dyDescent="0.25">
      <c r="B37" s="295"/>
      <c r="C37" s="86"/>
      <c r="F37" s="97" t="s">
        <v>39</v>
      </c>
      <c r="G37" s="97" t="s">
        <v>110</v>
      </c>
      <c r="H37" s="97" t="s">
        <v>111</v>
      </c>
      <c r="M37" s="84"/>
    </row>
    <row r="38" spans="2:13" x14ac:dyDescent="0.25">
      <c r="B38" s="295"/>
      <c r="C38" s="86"/>
      <c r="D38" s="73" t="s">
        <v>117</v>
      </c>
      <c r="E38" s="74" t="s">
        <v>211</v>
      </c>
      <c r="F38" s="104">
        <f>IFERROR(H38/G38,0)</f>
        <v>0</v>
      </c>
      <c r="G38" s="89">
        <f>H21</f>
        <v>0</v>
      </c>
      <c r="H38" s="89">
        <f>G24</f>
        <v>0</v>
      </c>
      <c r="M38" s="84"/>
    </row>
    <row r="39" spans="2:13" ht="18" thickBot="1" x14ac:dyDescent="0.3">
      <c r="B39" s="296"/>
      <c r="C39" s="86"/>
      <c r="D39" s="96" t="s">
        <v>212</v>
      </c>
      <c r="E39" s="91"/>
      <c r="F39" s="102" t="s">
        <v>208</v>
      </c>
      <c r="G39" s="91"/>
      <c r="H39" s="103"/>
      <c r="I39" s="103"/>
      <c r="J39" s="102"/>
      <c r="M39" s="84"/>
    </row>
    <row r="40" spans="2:13" x14ac:dyDescent="0.25">
      <c r="G40" s="91"/>
    </row>
    <row r="41" spans="2:13" x14ac:dyDescent="0.25">
      <c r="G41" s="91"/>
    </row>
    <row r="43" spans="2:13" x14ac:dyDescent="0.25">
      <c r="J43" s="91"/>
    </row>
  </sheetData>
  <sheetProtection algorithmName="SHA-512" hashValue="f6mnQE/vik5AIOX62ouRSQnnTIzewOYZ0Zp2efTH+wB+QLc6MIiM2EGjvGmY2aJzQhMs8KKIHgSypJUUTccuaA==" saltValue="LMw2UxniBZig+a/fCZ3BvQ==" spinCount="100000" sheet="1" objects="1" scenarios="1" selectLockedCells="1"/>
  <mergeCells count="3">
    <mergeCell ref="B26:B39"/>
    <mergeCell ref="B6:B14"/>
    <mergeCell ref="B16:B24"/>
  </mergeCells>
  <conditionalFormatting sqref="G34">
    <cfRule type="containsText" dxfId="23" priority="7" operator="containsText" text="Fail">
      <formula>NOT(ISERROR(SEARCH("Fail",G34)))</formula>
    </cfRule>
    <cfRule type="containsText" dxfId="22" priority="8" operator="containsText" text="PASS">
      <formula>NOT(ISERROR(SEARCH("PASS",G34)))</formula>
    </cfRule>
  </conditionalFormatting>
  <conditionalFormatting sqref="G30">
    <cfRule type="containsText" dxfId="21" priority="5" operator="containsText" text="Limit to 50%">
      <formula>NOT(ISERROR(SEARCH("Limit to 50%",G30)))</formula>
    </cfRule>
    <cfRule type="containsText" dxfId="20" priority="6" operator="containsText" text="Pass">
      <formula>NOT(ISERROR(SEARCH("Pass",G30)))</formula>
    </cfRule>
  </conditionalFormatting>
  <conditionalFormatting sqref="G27">
    <cfRule type="containsText" dxfId="19" priority="3" operator="containsText" text="Fail">
      <formula>NOT(ISERROR(SEARCH("Fail",G27)))</formula>
    </cfRule>
    <cfRule type="containsText" dxfId="18" priority="4" operator="containsText" text="PASS">
      <formula>NOT(ISERROR(SEARCH("PASS",G27)))</formula>
    </cfRule>
  </conditionalFormatting>
  <pageMargins left="0.7" right="0.7" top="0.75" bottom="0.75" header="0.3" footer="0.3"/>
  <pageSetup scale="6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25"/>
  <sheetViews>
    <sheetView showGridLines="0" zoomScaleNormal="100" workbookViewId="0"/>
  </sheetViews>
  <sheetFormatPr defaultColWidth="9.28515625" defaultRowHeight="12.75" x14ac:dyDescent="0.2"/>
  <cols>
    <col min="1" max="1" width="2.7109375" style="180" customWidth="1"/>
    <col min="2" max="2" width="7.42578125" style="180" customWidth="1"/>
    <col min="3" max="3" width="8.7109375" style="180" customWidth="1"/>
    <col min="4" max="4" width="8.28515625" style="180" customWidth="1"/>
    <col min="5" max="5" width="11" style="180" customWidth="1"/>
    <col min="6" max="7" width="15.28515625" style="180" customWidth="1"/>
    <col min="8" max="8" width="13" style="180" customWidth="1"/>
    <col min="9" max="9" width="13.42578125" style="180" bestFit="1" customWidth="1"/>
    <col min="10" max="11" width="13.42578125" style="180" customWidth="1"/>
    <col min="12" max="13" width="12" style="180" customWidth="1"/>
    <col min="14" max="14" width="12.7109375" style="180" customWidth="1"/>
    <col min="15" max="15" width="12.28515625" style="180" customWidth="1"/>
    <col min="16" max="16" width="12.7109375" style="180" customWidth="1"/>
    <col min="17" max="20" width="9.28515625" style="180"/>
    <col min="21" max="21" width="35.42578125" style="180" bestFit="1" customWidth="1"/>
    <col min="22" max="22" width="4" style="180" customWidth="1"/>
    <col min="23" max="16384" width="9.28515625" style="180"/>
  </cols>
  <sheetData>
    <row r="1" spans="2:15" ht="42.75" customHeight="1" x14ac:dyDescent="0.2">
      <c r="F1" s="303"/>
      <c r="G1" s="303"/>
      <c r="H1" s="303"/>
      <c r="I1" s="303"/>
      <c r="J1" s="303"/>
      <c r="K1" s="303"/>
      <c r="L1" s="303"/>
    </row>
    <row r="2" spans="2:15" ht="9" customHeight="1" x14ac:dyDescent="0.2"/>
    <row r="3" spans="2:15" ht="15" x14ac:dyDescent="0.3">
      <c r="B3" s="23" t="s">
        <v>64</v>
      </c>
      <c r="C3" s="24"/>
      <c r="D3" s="25"/>
      <c r="E3" s="25"/>
      <c r="F3" s="26" t="s">
        <v>63</v>
      </c>
      <c r="G3" s="27" t="s">
        <v>62</v>
      </c>
      <c r="H3" s="28"/>
      <c r="I3" s="29" t="s">
        <v>61</v>
      </c>
      <c r="J3" s="30"/>
      <c r="L3" s="31"/>
      <c r="M3" s="28"/>
    </row>
    <row r="4" spans="2:15" ht="15" x14ac:dyDescent="0.3">
      <c r="B4" s="32" t="s">
        <v>60</v>
      </c>
      <c r="C4" s="33"/>
      <c r="D4" s="33"/>
      <c r="E4" s="33"/>
      <c r="F4" s="122" t="str">
        <f>Overview!H12</f>
        <v>Enter A/C Info</v>
      </c>
      <c r="G4" s="123">
        <f>IFERROR(F4*(1+G6),0)</f>
        <v>0</v>
      </c>
      <c r="H4" s="28"/>
      <c r="I4" s="34" t="s">
        <v>275</v>
      </c>
      <c r="J4" s="137">
        <v>5.9799999999999999E-2</v>
      </c>
      <c r="K4" s="35"/>
      <c r="L4" s="31"/>
      <c r="M4" s="28"/>
    </row>
    <row r="5" spans="2:15" ht="15" x14ac:dyDescent="0.3">
      <c r="B5" s="36" t="s">
        <v>183</v>
      </c>
      <c r="C5" s="37"/>
      <c r="D5" s="37"/>
      <c r="E5" s="37"/>
      <c r="F5" s="124" t="str">
        <f>Overview!H13</f>
        <v>Enter A/C Info</v>
      </c>
      <c r="G5" s="125">
        <f>IFERROR(F5*(1+G6),0)</f>
        <v>0</v>
      </c>
      <c r="H5" s="28"/>
      <c r="I5" s="38" t="s">
        <v>59</v>
      </c>
      <c r="J5" s="138">
        <v>4.8559999999999999E-2</v>
      </c>
      <c r="K5" s="35"/>
      <c r="L5" s="31"/>
      <c r="M5" s="28"/>
    </row>
    <row r="6" spans="2:15" ht="15" x14ac:dyDescent="0.3">
      <c r="B6" s="36" t="s">
        <v>58</v>
      </c>
      <c r="C6" s="37"/>
      <c r="D6" s="37"/>
      <c r="E6" s="37"/>
      <c r="F6" s="40">
        <f>Island</f>
        <v>0</v>
      </c>
      <c r="G6" s="39" t="str">
        <f>IFERROR(VLOOKUP(Island, IslandLosses, 2, FALSE),"")</f>
        <v/>
      </c>
      <c r="H6" s="28"/>
      <c r="I6" s="38" t="s">
        <v>290</v>
      </c>
      <c r="J6" s="138">
        <v>8.5099999999999995E-2</v>
      </c>
      <c r="K6" s="35"/>
      <c r="L6" s="41"/>
      <c r="M6" s="28"/>
    </row>
    <row r="7" spans="2:15" ht="15" x14ac:dyDescent="0.3">
      <c r="B7" s="36"/>
      <c r="C7" s="37"/>
      <c r="D7" s="37"/>
      <c r="E7" s="37"/>
      <c r="F7" s="37"/>
      <c r="G7" s="39"/>
      <c r="H7" s="28"/>
      <c r="I7" s="38" t="s">
        <v>291</v>
      </c>
      <c r="J7" s="138">
        <v>4.514E-2</v>
      </c>
      <c r="K7" s="35"/>
      <c r="L7" s="31"/>
      <c r="M7" s="28"/>
    </row>
    <row r="8" spans="2:15" ht="15" x14ac:dyDescent="0.3">
      <c r="B8" s="36" t="s">
        <v>57</v>
      </c>
      <c r="C8" s="37"/>
      <c r="D8" s="37"/>
      <c r="E8" s="37"/>
      <c r="F8" s="42">
        <f>Overview!H17*12</f>
        <v>0</v>
      </c>
      <c r="G8" s="39"/>
      <c r="H8" s="28"/>
      <c r="I8" s="43" t="s">
        <v>274</v>
      </c>
      <c r="J8" s="139">
        <v>3.952E-2</v>
      </c>
      <c r="K8" s="35"/>
      <c r="L8" s="31"/>
      <c r="M8" s="28"/>
    </row>
    <row r="9" spans="2:15" ht="15.75" thickBot="1" x14ac:dyDescent="0.35">
      <c r="B9" s="36" t="s">
        <v>56</v>
      </c>
      <c r="C9" s="37"/>
      <c r="D9" s="37"/>
      <c r="E9" s="37"/>
      <c r="F9" s="45">
        <f>Overview!H18*12</f>
        <v>0</v>
      </c>
      <c r="G9" s="39"/>
      <c r="H9" s="28"/>
      <c r="I9" s="37"/>
      <c r="J9" s="46"/>
      <c r="K9" s="37"/>
      <c r="L9" s="35"/>
      <c r="M9" s="35"/>
      <c r="N9" s="31"/>
      <c r="O9" s="28"/>
    </row>
    <row r="10" spans="2:15" ht="15.75" thickTop="1" x14ac:dyDescent="0.3">
      <c r="B10" s="47" t="s">
        <v>55</v>
      </c>
      <c r="C10" s="48"/>
      <c r="D10" s="48"/>
      <c r="E10" s="48"/>
      <c r="F10" s="49">
        <f>SUM(F8:F9)</f>
        <v>0</v>
      </c>
      <c r="G10" s="44"/>
      <c r="H10" s="50"/>
      <c r="I10" s="50"/>
      <c r="J10" s="50"/>
      <c r="K10" s="50"/>
      <c r="L10" s="50"/>
      <c r="M10" s="50"/>
      <c r="N10" s="31"/>
      <c r="O10" s="28"/>
    </row>
    <row r="11" spans="2:15" ht="15" x14ac:dyDescent="0.3">
      <c r="B11" s="28"/>
      <c r="C11" s="28"/>
      <c r="D11" s="28"/>
      <c r="E11" s="28"/>
      <c r="F11" s="51"/>
      <c r="G11" s="52"/>
      <c r="H11" s="50"/>
      <c r="I11" s="53"/>
      <c r="J11" s="50"/>
      <c r="K11" s="50"/>
      <c r="L11" s="50"/>
      <c r="M11" s="50"/>
      <c r="N11" s="31"/>
      <c r="O11" s="28"/>
    </row>
    <row r="12" spans="2:15" ht="15" x14ac:dyDescent="0.3">
      <c r="B12" s="23" t="s">
        <v>54</v>
      </c>
      <c r="C12" s="24"/>
      <c r="D12" s="25"/>
      <c r="E12" s="25"/>
      <c r="F12" s="26"/>
      <c r="G12" s="27"/>
      <c r="H12" s="50"/>
      <c r="I12" s="50"/>
      <c r="J12" s="50"/>
      <c r="K12" s="50"/>
      <c r="L12" s="50"/>
      <c r="M12" s="50"/>
      <c r="N12" s="31"/>
      <c r="O12" s="28"/>
    </row>
    <row r="13" spans="2:15" ht="15" x14ac:dyDescent="0.3">
      <c r="B13" s="36" t="s">
        <v>53</v>
      </c>
      <c r="C13" s="37"/>
      <c r="D13" s="37"/>
      <c r="E13" s="37"/>
      <c r="F13" s="54">
        <f>Overview!G23</f>
        <v>0</v>
      </c>
      <c r="G13" s="55"/>
      <c r="H13" s="50"/>
      <c r="I13" s="50"/>
      <c r="J13" s="50"/>
      <c r="K13" s="50"/>
      <c r="L13" s="50"/>
      <c r="M13" s="50"/>
      <c r="N13" s="31"/>
      <c r="O13" s="28"/>
    </row>
    <row r="14" spans="2:15" ht="15" x14ac:dyDescent="0.3">
      <c r="B14" s="36" t="s">
        <v>52</v>
      </c>
      <c r="C14" s="37"/>
      <c r="D14" s="37"/>
      <c r="E14" s="37"/>
      <c r="F14" s="31">
        <f>Overview!H20</f>
        <v>0</v>
      </c>
      <c r="G14" s="56"/>
      <c r="H14" s="28"/>
      <c r="I14" s="28"/>
      <c r="J14" s="28"/>
      <c r="K14" s="28"/>
      <c r="L14" s="28"/>
      <c r="M14" s="28"/>
      <c r="N14" s="31"/>
      <c r="O14" s="28"/>
    </row>
    <row r="15" spans="2:15" ht="15.75" thickBot="1" x14ac:dyDescent="0.35">
      <c r="B15" s="36" t="str">
        <f>B10</f>
        <v>First Year Electrical Cost Savings</v>
      </c>
      <c r="C15" s="37"/>
      <c r="D15" s="37"/>
      <c r="E15" s="37"/>
      <c r="F15" s="57">
        <f>F10</f>
        <v>0</v>
      </c>
      <c r="G15" s="56"/>
      <c r="H15" s="28"/>
      <c r="I15" s="28"/>
      <c r="J15" s="28"/>
      <c r="K15" s="31"/>
      <c r="L15" s="28"/>
    </row>
    <row r="16" spans="2:15" ht="15.75" thickTop="1" x14ac:dyDescent="0.3">
      <c r="B16" s="36" t="s">
        <v>51</v>
      </c>
      <c r="C16" s="37"/>
      <c r="D16" s="37"/>
      <c r="E16" s="37"/>
      <c r="F16" s="31">
        <f>F14+F15</f>
        <v>0</v>
      </c>
      <c r="G16" s="56"/>
      <c r="H16" s="28"/>
      <c r="I16" s="28"/>
      <c r="J16" s="28"/>
      <c r="K16" s="28"/>
      <c r="L16" s="28"/>
      <c r="M16" s="28"/>
      <c r="N16" s="31"/>
      <c r="O16" s="28"/>
    </row>
    <row r="17" spans="2:15" ht="15" x14ac:dyDescent="0.3">
      <c r="B17" s="36" t="s">
        <v>50</v>
      </c>
      <c r="C17" s="37"/>
      <c r="D17" s="37"/>
      <c r="E17" s="37"/>
      <c r="F17" s="178">
        <f>IFERROR(_xlfn.FLOOR.MATH(MeasureLife), 0)</f>
        <v>0</v>
      </c>
      <c r="G17" s="58"/>
      <c r="H17" s="28"/>
      <c r="I17" s="59"/>
      <c r="J17" s="59"/>
      <c r="K17" s="59"/>
      <c r="L17" s="28"/>
      <c r="M17" s="28"/>
      <c r="N17" s="31"/>
      <c r="O17" s="28"/>
    </row>
    <row r="18" spans="2:15" ht="15" x14ac:dyDescent="0.3">
      <c r="B18" s="36" t="s">
        <v>289</v>
      </c>
      <c r="C18" s="37"/>
      <c r="D18" s="37"/>
      <c r="E18" s="37"/>
      <c r="F18" s="181">
        <f>IF(OR(Island=I5,Island=I6,Island=I7), $I$5, Island)</f>
        <v>0</v>
      </c>
      <c r="G18" s="58"/>
      <c r="H18" s="28"/>
      <c r="I18" s="59"/>
      <c r="J18" s="59"/>
      <c r="K18" s="59"/>
      <c r="L18" s="28"/>
      <c r="M18" s="28"/>
      <c r="N18" s="31"/>
      <c r="O18" s="28"/>
    </row>
    <row r="19" spans="2:15" ht="15" x14ac:dyDescent="0.3">
      <c r="B19" s="36" t="s">
        <v>49</v>
      </c>
      <c r="C19" s="37"/>
      <c r="D19" s="37"/>
      <c r="E19" s="37"/>
      <c r="F19" s="60">
        <v>5.7000000000000002E-2</v>
      </c>
      <c r="G19" s="58"/>
      <c r="H19" s="28"/>
      <c r="I19" s="59"/>
      <c r="J19" s="59"/>
      <c r="K19" s="59"/>
      <c r="L19" s="28"/>
      <c r="M19" s="28"/>
      <c r="N19" s="31"/>
      <c r="O19" s="28"/>
    </row>
    <row r="20" spans="2:15" ht="15" x14ac:dyDescent="0.3">
      <c r="B20" s="36" t="s">
        <v>48</v>
      </c>
      <c r="C20" s="37"/>
      <c r="D20" s="37"/>
      <c r="E20" s="37"/>
      <c r="F20" s="61">
        <v>0.03</v>
      </c>
      <c r="G20" s="58"/>
      <c r="H20" s="28"/>
      <c r="I20" s="59"/>
      <c r="J20" s="59"/>
      <c r="K20" s="59"/>
      <c r="L20" s="28"/>
      <c r="M20" s="28"/>
      <c r="N20" s="31"/>
      <c r="O20" s="28"/>
    </row>
    <row r="21" spans="2:15" ht="15" x14ac:dyDescent="0.3">
      <c r="B21" s="36" t="s">
        <v>47</v>
      </c>
      <c r="C21" s="37"/>
      <c r="D21" s="37"/>
      <c r="E21" s="37"/>
      <c r="F21" s="60">
        <v>0.06</v>
      </c>
      <c r="G21" s="58"/>
      <c r="H21" s="28"/>
      <c r="I21" s="59"/>
      <c r="J21" s="59"/>
      <c r="K21" s="59"/>
      <c r="L21" s="28"/>
      <c r="M21" s="28"/>
      <c r="N21" s="31"/>
      <c r="O21" s="28"/>
    </row>
    <row r="22" spans="2:15" ht="15" x14ac:dyDescent="0.3">
      <c r="B22" s="36" t="s">
        <v>194</v>
      </c>
      <c r="C22" s="37"/>
      <c r="D22" s="37"/>
      <c r="E22" s="37"/>
      <c r="F22" s="31">
        <f>IFERROR('Lighting Input'!$N$8:$O$8, 0)</f>
        <v>0</v>
      </c>
      <c r="G22" s="58"/>
      <c r="H22" s="62"/>
      <c r="I22" s="59"/>
      <c r="J22" s="59"/>
      <c r="K22" s="59"/>
      <c r="L22" s="28"/>
      <c r="M22" s="28"/>
      <c r="N22" s="31"/>
      <c r="O22" s="28"/>
    </row>
    <row r="23" spans="2:15" ht="15" x14ac:dyDescent="0.3">
      <c r="B23" s="36" t="s">
        <v>46</v>
      </c>
      <c r="C23" s="37"/>
      <c r="D23" s="37"/>
      <c r="E23" s="37"/>
      <c r="F23" s="31">
        <f>F13</f>
        <v>0</v>
      </c>
      <c r="G23" s="58"/>
      <c r="H23" s="62"/>
      <c r="I23" s="59"/>
      <c r="J23" s="59"/>
      <c r="K23" s="59"/>
      <c r="L23" s="28"/>
      <c r="M23" s="28"/>
      <c r="N23" s="31"/>
      <c r="O23" s="28"/>
    </row>
    <row r="24" spans="2:15" ht="15" x14ac:dyDescent="0.3">
      <c r="B24" s="47" t="s">
        <v>45</v>
      </c>
      <c r="C24" s="48"/>
      <c r="D24" s="48"/>
      <c r="E24" s="48"/>
      <c r="F24" s="63">
        <f>IFERROR(F22/F23,0)</f>
        <v>0</v>
      </c>
      <c r="G24" s="64"/>
      <c r="H24" s="50"/>
      <c r="I24" s="59"/>
      <c r="J24" s="59"/>
      <c r="K24" s="59"/>
      <c r="L24" s="28"/>
      <c r="M24" s="28"/>
      <c r="N24" s="31"/>
      <c r="O24" s="28"/>
    </row>
    <row r="25" spans="2:15" ht="15" x14ac:dyDescent="0.3">
      <c r="B25" s="37"/>
      <c r="C25" s="37"/>
      <c r="D25" s="37"/>
      <c r="E25" s="37"/>
      <c r="F25" s="65"/>
      <c r="G25" s="37"/>
      <c r="H25" s="50"/>
      <c r="I25" s="59"/>
      <c r="J25" s="59"/>
      <c r="K25" s="59"/>
      <c r="L25" s="28"/>
      <c r="M25" s="28"/>
      <c r="N25" s="31"/>
      <c r="O25" s="28"/>
    </row>
  </sheetData>
  <sheetProtection algorithmName="SHA-512" hashValue="YfU8BzhaJhL2TlDFWHhFIoQPjYzeW7fdDW8ghZsGXg9pzUJAHMd8/2LsNdqKKlnI2ZeRNvgmEUXj8EWTeMEoAQ==" saltValue="W6Fj6wYQ9jrYf++Otv8thw==" spinCount="100000" sheet="1" objects="1" scenarios="1" selectLockedCells="1"/>
  <mergeCells count="1">
    <mergeCell ref="F1:L1"/>
  </mergeCells>
  <pageMargins left="0.75" right="0.75" top="0.45" bottom="0.28999999999999998" header="0.3" footer="0.17"/>
  <pageSetup scale="64" orientation="landscape" r:id="rId1"/>
  <headerFooter alignWithMargins="0"/>
  <ignoredErrors>
    <ignoredError sqref="F10 F16"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
  <sheetViews>
    <sheetView showGridLines="0" workbookViewId="0"/>
  </sheetViews>
  <sheetFormatPr defaultColWidth="8.7109375" defaultRowHeight="15" x14ac:dyDescent="0.25"/>
  <cols>
    <col min="1" max="1" width="6.5703125" style="21" customWidth="1"/>
    <col min="2" max="2" width="14.28515625" style="21" customWidth="1"/>
    <col min="3" max="3" width="15.42578125" style="21" customWidth="1"/>
    <col min="4" max="4" width="15.28515625" style="21" customWidth="1"/>
    <col min="5" max="5" width="16.42578125" style="21" customWidth="1"/>
    <col min="6" max="6" width="16.5703125" style="21" customWidth="1"/>
    <col min="7" max="7" width="16.28515625" style="21" customWidth="1"/>
    <col min="8" max="8" width="17.5703125" style="21" customWidth="1"/>
    <col min="9" max="9" width="13.28515625" style="21" customWidth="1"/>
    <col min="10" max="10" width="12.7109375" style="21" customWidth="1"/>
    <col min="11" max="12" width="14.28515625" style="21" customWidth="1"/>
    <col min="13" max="13" width="14" style="21" customWidth="1"/>
    <col min="14" max="14" width="15.28515625" style="21" customWidth="1"/>
    <col min="15" max="16384" width="8.7109375" style="21"/>
  </cols>
  <sheetData>
    <row r="1" spans="1:14" ht="28.9" customHeight="1" thickBot="1" x14ac:dyDescent="0.3">
      <c r="B1" s="182"/>
      <c r="C1" s="304" t="s">
        <v>288</v>
      </c>
      <c r="D1" s="307"/>
      <c r="E1" s="308"/>
      <c r="F1" s="304" t="s">
        <v>287</v>
      </c>
      <c r="G1" s="307"/>
      <c r="H1" s="308"/>
      <c r="I1" s="304" t="s">
        <v>286</v>
      </c>
      <c r="J1" s="307"/>
      <c r="K1" s="308"/>
      <c r="L1" s="304" t="s">
        <v>285</v>
      </c>
      <c r="M1" s="305"/>
      <c r="N1" s="306"/>
    </row>
    <row r="2" spans="1:14" x14ac:dyDescent="0.25">
      <c r="A2" s="202" t="s">
        <v>44</v>
      </c>
      <c r="B2" s="203" t="s">
        <v>276</v>
      </c>
      <c r="C2" s="204" t="s">
        <v>358</v>
      </c>
      <c r="D2" s="205" t="s">
        <v>277</v>
      </c>
      <c r="E2" s="206" t="s">
        <v>278</v>
      </c>
      <c r="F2" s="204" t="s">
        <v>359</v>
      </c>
      <c r="G2" s="205" t="s">
        <v>279</v>
      </c>
      <c r="H2" s="206" t="s">
        <v>280</v>
      </c>
      <c r="I2" s="204" t="s">
        <v>360</v>
      </c>
      <c r="J2" s="205" t="s">
        <v>281</v>
      </c>
      <c r="K2" s="206" t="s">
        <v>282</v>
      </c>
      <c r="L2" s="204" t="s">
        <v>361</v>
      </c>
      <c r="M2" s="205" t="s">
        <v>283</v>
      </c>
      <c r="N2" s="207" t="s">
        <v>284</v>
      </c>
    </row>
    <row r="3" spans="1:14" x14ac:dyDescent="0.25">
      <c r="A3" s="196">
        <v>2023</v>
      </c>
      <c r="B3" s="184">
        <v>1</v>
      </c>
      <c r="C3" s="183">
        <v>218</v>
      </c>
      <c r="D3" s="147">
        <v>635</v>
      </c>
      <c r="E3" s="184">
        <v>0</v>
      </c>
      <c r="F3" s="183">
        <v>0.11700000000000001</v>
      </c>
      <c r="G3" s="147">
        <v>0.158</v>
      </c>
      <c r="H3" s="184">
        <v>0.17199999999999999</v>
      </c>
      <c r="I3" s="183">
        <v>218</v>
      </c>
      <c r="J3" s="147">
        <v>635</v>
      </c>
      <c r="K3" s="184">
        <v>0</v>
      </c>
      <c r="L3" s="183">
        <v>0.11700000000000001</v>
      </c>
      <c r="M3" s="147">
        <v>0.158</v>
      </c>
      <c r="N3" s="197">
        <v>0.17199999999999999</v>
      </c>
    </row>
    <row r="4" spans="1:14" x14ac:dyDescent="0.25">
      <c r="A4" s="196">
        <v>2024</v>
      </c>
      <c r="B4" s="184">
        <v>2</v>
      </c>
      <c r="C4" s="183">
        <v>205.66037735849056</v>
      </c>
      <c r="D4" s="147">
        <v>599.05660377358492</v>
      </c>
      <c r="E4" s="184">
        <v>0</v>
      </c>
      <c r="F4" s="183">
        <v>0.1141509433962264</v>
      </c>
      <c r="G4" s="147">
        <v>0.15377358490566037</v>
      </c>
      <c r="H4" s="184">
        <v>0.16698113207547169</v>
      </c>
      <c r="I4" s="183">
        <v>424</v>
      </c>
      <c r="J4" s="147">
        <v>1234</v>
      </c>
      <c r="K4" s="184">
        <v>0</v>
      </c>
      <c r="L4" s="183">
        <v>0.23100000000000001</v>
      </c>
      <c r="M4" s="147">
        <v>0.312</v>
      </c>
      <c r="N4" s="197">
        <v>0.33900000000000002</v>
      </c>
    </row>
    <row r="5" spans="1:14" x14ac:dyDescent="0.25">
      <c r="A5" s="196">
        <v>2025</v>
      </c>
      <c r="B5" s="184">
        <v>3</v>
      </c>
      <c r="C5" s="183">
        <v>194.01922392310428</v>
      </c>
      <c r="D5" s="147">
        <v>565.14773940904229</v>
      </c>
      <c r="E5" s="184">
        <v>0</v>
      </c>
      <c r="F5" s="183">
        <v>0.11124955500177998</v>
      </c>
      <c r="G5" s="147">
        <v>0.1495194019223923</v>
      </c>
      <c r="H5" s="184">
        <v>0.16197935208259165</v>
      </c>
      <c r="I5" s="183">
        <v>618</v>
      </c>
      <c r="J5" s="147">
        <v>1799</v>
      </c>
      <c r="K5" s="184">
        <v>0</v>
      </c>
      <c r="L5" s="183">
        <v>0.34200000000000003</v>
      </c>
      <c r="M5" s="147">
        <v>0.46100000000000002</v>
      </c>
      <c r="N5" s="197">
        <v>0.501</v>
      </c>
    </row>
    <row r="6" spans="1:14" x14ac:dyDescent="0.25">
      <c r="A6" s="196">
        <v>2026</v>
      </c>
      <c r="B6" s="184">
        <v>4</v>
      </c>
      <c r="C6" s="183">
        <v>183.03700370104175</v>
      </c>
      <c r="D6" s="147">
        <v>533.15824472551151</v>
      </c>
      <c r="E6" s="184">
        <v>0</v>
      </c>
      <c r="F6" s="183">
        <v>0.10831088751116691</v>
      </c>
      <c r="G6" s="147">
        <v>0.14525413596458817</v>
      </c>
      <c r="H6" s="184">
        <v>0.15700880592704039</v>
      </c>
      <c r="I6" s="183">
        <v>801</v>
      </c>
      <c r="J6" s="147">
        <v>2332</v>
      </c>
      <c r="K6" s="184">
        <v>0</v>
      </c>
      <c r="L6" s="183">
        <v>0.45100000000000001</v>
      </c>
      <c r="M6" s="147">
        <v>0.60699999999999998</v>
      </c>
      <c r="N6" s="197">
        <v>0.65800000000000003</v>
      </c>
    </row>
    <row r="7" spans="1:14" x14ac:dyDescent="0.25">
      <c r="A7" s="196">
        <v>2027</v>
      </c>
      <c r="B7" s="184">
        <v>5</v>
      </c>
      <c r="C7" s="183">
        <v>172.67641858588846</v>
      </c>
      <c r="D7" s="147">
        <v>502.97947615614294</v>
      </c>
      <c r="E7" s="184">
        <v>0</v>
      </c>
      <c r="F7" s="183">
        <v>0.10534845721065672</v>
      </c>
      <c r="G7" s="147">
        <v>0.14099267205636762</v>
      </c>
      <c r="H7" s="184">
        <v>0.15287407700493794</v>
      </c>
      <c r="I7" s="183">
        <v>973</v>
      </c>
      <c r="J7" s="147">
        <v>2835</v>
      </c>
      <c r="K7" s="184">
        <v>0</v>
      </c>
      <c r="L7" s="183">
        <v>0.55600000000000005</v>
      </c>
      <c r="M7" s="147">
        <v>0.748</v>
      </c>
      <c r="N7" s="197">
        <v>0.81100000000000005</v>
      </c>
    </row>
    <row r="8" spans="1:14" x14ac:dyDescent="0.25">
      <c r="A8" s="196">
        <v>2028</v>
      </c>
      <c r="B8" s="184">
        <v>6</v>
      </c>
      <c r="C8" s="183">
        <v>162.90228168480041</v>
      </c>
      <c r="D8" s="147">
        <v>474.50893976994615</v>
      </c>
      <c r="E8" s="184">
        <v>0</v>
      </c>
      <c r="F8" s="183">
        <v>0.1023743696826498</v>
      </c>
      <c r="G8" s="147">
        <v>0.1367482456344884</v>
      </c>
      <c r="H8" s="184">
        <v>0.14870437640034534</v>
      </c>
      <c r="I8" s="183">
        <v>1136</v>
      </c>
      <c r="J8" s="147">
        <v>3310</v>
      </c>
      <c r="K8" s="184">
        <v>0</v>
      </c>
      <c r="L8" s="183">
        <v>0.65800000000000003</v>
      </c>
      <c r="M8" s="147">
        <v>0.88400000000000001</v>
      </c>
      <c r="N8" s="197">
        <v>0.96</v>
      </c>
    </row>
    <row r="9" spans="1:14" x14ac:dyDescent="0.25">
      <c r="A9" s="196">
        <v>2029</v>
      </c>
      <c r="B9" s="184">
        <v>7</v>
      </c>
      <c r="C9" s="183">
        <v>153.68139781584944</v>
      </c>
      <c r="D9" s="147">
        <v>447.64994317919445</v>
      </c>
      <c r="E9" s="184">
        <v>0</v>
      </c>
      <c r="F9" s="183">
        <v>9.9399436201994346E-2</v>
      </c>
      <c r="G9" s="147">
        <v>0.13253258160265916</v>
      </c>
      <c r="H9" s="184">
        <v>0.14451691079013362</v>
      </c>
      <c r="I9" s="183">
        <v>1290</v>
      </c>
      <c r="J9" s="147">
        <v>3758</v>
      </c>
      <c r="K9" s="184">
        <v>0</v>
      </c>
      <c r="L9" s="183">
        <v>0.75800000000000001</v>
      </c>
      <c r="M9" s="147">
        <v>1.0169999999999999</v>
      </c>
      <c r="N9" s="197">
        <v>1.1040000000000001</v>
      </c>
    </row>
    <row r="10" spans="1:14" x14ac:dyDescent="0.25">
      <c r="A10" s="196">
        <v>2030</v>
      </c>
      <c r="B10" s="184">
        <v>8</v>
      </c>
      <c r="C10" s="183">
        <v>144.98245076966924</v>
      </c>
      <c r="D10" s="147">
        <v>422.31126715018337</v>
      </c>
      <c r="E10" s="184">
        <v>0</v>
      </c>
      <c r="F10" s="183">
        <v>9.6433281475238719E-2</v>
      </c>
      <c r="G10" s="147">
        <v>0.12902108004273319</v>
      </c>
      <c r="H10" s="184">
        <v>0.14032705097431289</v>
      </c>
      <c r="I10" s="183">
        <v>1435</v>
      </c>
      <c r="J10" s="147">
        <v>4180</v>
      </c>
      <c r="K10" s="184">
        <v>0</v>
      </c>
      <c r="L10" s="183">
        <v>0.85399999999999998</v>
      </c>
      <c r="M10" s="147">
        <v>1.1459999999999999</v>
      </c>
      <c r="N10" s="197">
        <v>1.244</v>
      </c>
    </row>
    <row r="11" spans="1:14" x14ac:dyDescent="0.25">
      <c r="A11" s="196">
        <v>2031</v>
      </c>
      <c r="B11" s="184">
        <v>9</v>
      </c>
      <c r="C11" s="183">
        <v>136.77589695251817</v>
      </c>
      <c r="D11" s="147">
        <v>398.40685580205985</v>
      </c>
      <c r="E11" s="184">
        <v>0</v>
      </c>
      <c r="F11" s="183">
        <v>9.3484443329932138E-2</v>
      </c>
      <c r="G11" s="147">
        <v>0.12548247426836531</v>
      </c>
      <c r="H11" s="184">
        <v>0.13614848458117634</v>
      </c>
      <c r="I11" s="183">
        <v>1572</v>
      </c>
      <c r="J11" s="147">
        <v>4578</v>
      </c>
      <c r="K11" s="184">
        <v>0</v>
      </c>
      <c r="L11" s="183">
        <v>0.94799999999999995</v>
      </c>
      <c r="M11" s="147">
        <v>1.2709999999999999</v>
      </c>
      <c r="N11" s="197">
        <v>1.381</v>
      </c>
    </row>
    <row r="12" spans="1:14" x14ac:dyDescent="0.25">
      <c r="A12" s="196">
        <v>2032</v>
      </c>
      <c r="B12" s="184">
        <v>10</v>
      </c>
      <c r="C12" s="183">
        <v>129.03386504954545</v>
      </c>
      <c r="D12" s="147">
        <v>375.85552434156585</v>
      </c>
      <c r="E12" s="184">
        <v>0</v>
      </c>
      <c r="F12" s="183">
        <v>9.0560464920093828E-2</v>
      </c>
      <c r="G12" s="147">
        <v>0.12193108348718515</v>
      </c>
      <c r="H12" s="184">
        <v>0.13258525583072561</v>
      </c>
      <c r="I12" s="183">
        <v>1701</v>
      </c>
      <c r="J12" s="147">
        <v>4954</v>
      </c>
      <c r="K12" s="184">
        <v>0</v>
      </c>
      <c r="L12" s="183">
        <v>1.038</v>
      </c>
      <c r="M12" s="147">
        <v>1.393</v>
      </c>
      <c r="N12" s="197">
        <v>1.5129999999999999</v>
      </c>
    </row>
    <row r="13" spans="1:14" x14ac:dyDescent="0.25">
      <c r="A13" s="196">
        <v>2033</v>
      </c>
      <c r="B13" s="184">
        <v>11</v>
      </c>
      <c r="C13" s="183">
        <v>121.73006136749569</v>
      </c>
      <c r="D13" s="147">
        <v>354.58068334109987</v>
      </c>
      <c r="E13" s="184">
        <v>0</v>
      </c>
      <c r="F13" s="183">
        <v>8.8226374752588627E-2</v>
      </c>
      <c r="G13" s="147">
        <v>0.11837969270600499</v>
      </c>
      <c r="H13" s="184">
        <v>0.12898919346739224</v>
      </c>
      <c r="I13" s="183">
        <v>1822</v>
      </c>
      <c r="J13" s="147">
        <v>5309</v>
      </c>
      <c r="K13" s="184">
        <v>0</v>
      </c>
      <c r="L13" s="183">
        <v>1.127</v>
      </c>
      <c r="M13" s="147">
        <v>1.512</v>
      </c>
      <c r="N13" s="197">
        <v>1.6419999999999999</v>
      </c>
    </row>
    <row r="14" spans="1:14" x14ac:dyDescent="0.25">
      <c r="A14" s="196">
        <v>2034</v>
      </c>
      <c r="B14" s="184">
        <v>12</v>
      </c>
      <c r="C14" s="183">
        <v>114.83968053537328</v>
      </c>
      <c r="D14" s="147">
        <v>334.51007862367908</v>
      </c>
      <c r="E14" s="184">
        <v>0</v>
      </c>
      <c r="F14" s="183">
        <v>8.5866366638834152E-2</v>
      </c>
      <c r="G14" s="147">
        <v>0.11483968053537329</v>
      </c>
      <c r="H14" s="184">
        <v>0.1253754310432057</v>
      </c>
      <c r="I14" s="183">
        <v>1937</v>
      </c>
      <c r="J14" s="147">
        <v>5643</v>
      </c>
      <c r="K14" s="184">
        <v>0</v>
      </c>
      <c r="L14" s="183">
        <v>1.212</v>
      </c>
      <c r="M14" s="147">
        <v>1.6259999999999999</v>
      </c>
      <c r="N14" s="197">
        <v>1.7669999999999999</v>
      </c>
    </row>
    <row r="15" spans="1:14" x14ac:dyDescent="0.25">
      <c r="A15" s="196">
        <v>2035</v>
      </c>
      <c r="B15" s="184">
        <v>13</v>
      </c>
      <c r="C15" s="183">
        <v>108.3393212597861</v>
      </c>
      <c r="D15" s="147">
        <v>315.57554587139532</v>
      </c>
      <c r="E15" s="184">
        <v>0</v>
      </c>
      <c r="F15" s="183">
        <v>8.3490853080936095E-2</v>
      </c>
      <c r="G15" s="147">
        <v>0.11181810680482511</v>
      </c>
      <c r="H15" s="184">
        <v>0.12175749407636512</v>
      </c>
      <c r="I15" s="183">
        <v>2046</v>
      </c>
      <c r="J15" s="147">
        <v>5959</v>
      </c>
      <c r="K15" s="184">
        <v>0</v>
      </c>
      <c r="L15" s="183">
        <v>1.296</v>
      </c>
      <c r="M15" s="147">
        <v>1.738</v>
      </c>
      <c r="N15" s="197">
        <v>1.889</v>
      </c>
    </row>
    <row r="16" spans="1:14" x14ac:dyDescent="0.25">
      <c r="A16" s="196">
        <v>2036</v>
      </c>
      <c r="B16" s="184">
        <v>14</v>
      </c>
      <c r="C16" s="183">
        <v>102.20690684885481</v>
      </c>
      <c r="D16" s="147">
        <v>297.71277912395783</v>
      </c>
      <c r="E16" s="184">
        <v>0</v>
      </c>
      <c r="F16" s="183">
        <v>8.11091508479444E-2</v>
      </c>
      <c r="G16" s="147">
        <v>0.10877065316024916</v>
      </c>
      <c r="H16" s="184">
        <v>0.11814743360509822</v>
      </c>
      <c r="I16" s="183">
        <v>2148</v>
      </c>
      <c r="J16" s="147">
        <v>6256</v>
      </c>
      <c r="K16" s="184">
        <v>0</v>
      </c>
      <c r="L16" s="183">
        <v>1.377</v>
      </c>
      <c r="M16" s="147">
        <v>1.847</v>
      </c>
      <c r="N16" s="197">
        <v>2.0070000000000001</v>
      </c>
    </row>
    <row r="17" spans="1:14" x14ac:dyDescent="0.25">
      <c r="A17" s="196">
        <v>2037</v>
      </c>
      <c r="B17" s="184">
        <v>15</v>
      </c>
      <c r="C17" s="183">
        <v>96.421610234768693</v>
      </c>
      <c r="D17" s="147">
        <v>280.86111238109231</v>
      </c>
      <c r="E17" s="184">
        <v>0</v>
      </c>
      <c r="F17" s="183">
        <v>7.8729571659581776E-2</v>
      </c>
      <c r="G17" s="147">
        <v>0.10570993048674182</v>
      </c>
      <c r="H17" s="184">
        <v>0.11499825073871496</v>
      </c>
      <c r="I17" s="183">
        <v>2244</v>
      </c>
      <c r="J17" s="147">
        <v>6537</v>
      </c>
      <c r="K17" s="184">
        <v>0</v>
      </c>
      <c r="L17" s="183">
        <v>1.456</v>
      </c>
      <c r="M17" s="147">
        <v>1.9530000000000001</v>
      </c>
      <c r="N17" s="197">
        <v>2.1219999999999999</v>
      </c>
    </row>
    <row r="18" spans="1:14" x14ac:dyDescent="0.25">
      <c r="A18" s="196">
        <v>2038</v>
      </c>
      <c r="B18" s="184">
        <v>16</v>
      </c>
      <c r="C18" s="183">
        <v>90.963783240347794</v>
      </c>
      <c r="D18" s="147">
        <v>264.9633135670681</v>
      </c>
      <c r="E18" s="184">
        <v>0</v>
      </c>
      <c r="F18" s="183">
        <v>7.6359506114603889E-2</v>
      </c>
      <c r="G18" s="147">
        <v>0.10264720494094293</v>
      </c>
      <c r="H18" s="184">
        <v>0.11182703627712481</v>
      </c>
      <c r="I18" s="183">
        <v>2335</v>
      </c>
      <c r="J18" s="147">
        <v>6802</v>
      </c>
      <c r="K18" s="184">
        <v>0</v>
      </c>
      <c r="L18" s="183">
        <v>1.532</v>
      </c>
      <c r="M18" s="147">
        <v>2.0550000000000002</v>
      </c>
      <c r="N18" s="197">
        <v>2.234</v>
      </c>
    </row>
    <row r="19" spans="1:14" x14ac:dyDescent="0.25">
      <c r="A19" s="196">
        <v>2039</v>
      </c>
      <c r="B19" s="184">
        <v>17</v>
      </c>
      <c r="C19" s="183">
        <v>85.814889849384741</v>
      </c>
      <c r="D19" s="147">
        <v>249.96539015761149</v>
      </c>
      <c r="E19" s="184">
        <v>0</v>
      </c>
      <c r="F19" s="183">
        <v>7.4005501338001517E-2</v>
      </c>
      <c r="G19" s="147">
        <v>9.9592509779331831E-2</v>
      </c>
      <c r="H19" s="184">
        <v>0.10864637430472564</v>
      </c>
      <c r="I19" s="183">
        <v>2421</v>
      </c>
      <c r="J19" s="147">
        <v>7052</v>
      </c>
      <c r="K19" s="184">
        <v>0</v>
      </c>
      <c r="L19" s="183">
        <v>1.6060000000000001</v>
      </c>
      <c r="M19" s="147">
        <v>2.1549999999999998</v>
      </c>
      <c r="N19" s="197">
        <v>2.343</v>
      </c>
    </row>
    <row r="20" spans="1:14" x14ac:dyDescent="0.25">
      <c r="A20" s="196">
        <v>2040</v>
      </c>
      <c r="B20" s="184">
        <v>18</v>
      </c>
      <c r="C20" s="183">
        <v>80.957443254136535</v>
      </c>
      <c r="D20" s="147">
        <v>235.81640580906742</v>
      </c>
      <c r="E20" s="184">
        <v>0</v>
      </c>
      <c r="F20" s="183">
        <v>7.204469720780958E-2</v>
      </c>
      <c r="G20" s="147">
        <v>9.6926113253805665E-2</v>
      </c>
      <c r="H20" s="184">
        <v>0.10546749488153566</v>
      </c>
      <c r="I20" s="183">
        <v>2502</v>
      </c>
      <c r="J20" s="147">
        <v>7288</v>
      </c>
      <c r="K20" s="184">
        <v>0</v>
      </c>
      <c r="L20" s="183">
        <v>1.6779999999999999</v>
      </c>
      <c r="M20" s="147">
        <v>2.2519999999999998</v>
      </c>
      <c r="N20" s="197">
        <v>2.448</v>
      </c>
    </row>
    <row r="21" spans="1:14" x14ac:dyDescent="0.25">
      <c r="A21" s="196">
        <v>2041</v>
      </c>
      <c r="B21" s="184">
        <v>19</v>
      </c>
      <c r="C21" s="183">
        <v>76.374946466166548</v>
      </c>
      <c r="D21" s="147">
        <v>222.46830736704476</v>
      </c>
      <c r="E21" s="184">
        <v>0</v>
      </c>
      <c r="F21" s="183">
        <v>7.0068758225840869E-2</v>
      </c>
      <c r="G21" s="147">
        <v>9.4242479813755969E-2</v>
      </c>
      <c r="H21" s="184">
        <v>0.10265073080085686</v>
      </c>
      <c r="I21" s="183">
        <v>2578</v>
      </c>
      <c r="J21" s="147">
        <v>7511</v>
      </c>
      <c r="K21" s="184">
        <v>0</v>
      </c>
      <c r="L21" s="183">
        <v>1.748</v>
      </c>
      <c r="M21" s="147">
        <v>2.3460000000000001</v>
      </c>
      <c r="N21" s="197">
        <v>2.5510000000000002</v>
      </c>
    </row>
    <row r="22" spans="1:14" x14ac:dyDescent="0.25">
      <c r="A22" s="196">
        <v>2042</v>
      </c>
      <c r="B22" s="184">
        <v>20</v>
      </c>
      <c r="C22" s="183">
        <v>72.051836288836355</v>
      </c>
      <c r="D22" s="147">
        <v>209.87576166702331</v>
      </c>
      <c r="E22" s="184">
        <v>0</v>
      </c>
      <c r="F22" s="183">
        <v>6.8085680162845358E-2</v>
      </c>
      <c r="G22" s="147">
        <v>9.1552103908292076E-2</v>
      </c>
      <c r="H22" s="184">
        <v>9.9814929170773295E-2</v>
      </c>
      <c r="I22" s="183">
        <v>2650</v>
      </c>
      <c r="J22" s="147">
        <v>7720</v>
      </c>
      <c r="K22" s="184">
        <v>0</v>
      </c>
      <c r="L22" s="183">
        <v>1.8160000000000001</v>
      </c>
      <c r="M22" s="147">
        <v>2.4380000000000002</v>
      </c>
      <c r="N22" s="197">
        <v>2.6509999999999998</v>
      </c>
    </row>
    <row r="23" spans="1:14" x14ac:dyDescent="0.25">
      <c r="A23" s="196">
        <v>2043</v>
      </c>
      <c r="B23" s="184">
        <v>21</v>
      </c>
      <c r="C23" s="183">
        <v>67.973430461166373</v>
      </c>
      <c r="D23" s="147">
        <v>197.99600157266352</v>
      </c>
      <c r="E23" s="184">
        <v>0</v>
      </c>
      <c r="F23" s="183">
        <v>6.6102602099849861E-2</v>
      </c>
      <c r="G23" s="147">
        <v>8.886434716253401E-2</v>
      </c>
      <c r="H23" s="184">
        <v>9.6971270061572204E-2</v>
      </c>
      <c r="I23" s="183">
        <v>2718</v>
      </c>
      <c r="J23" s="147">
        <v>7918</v>
      </c>
      <c r="K23" s="184">
        <v>0</v>
      </c>
      <c r="L23" s="183">
        <v>1.8819999999999999</v>
      </c>
      <c r="M23" s="147">
        <v>2.5270000000000001</v>
      </c>
      <c r="N23" s="197">
        <v>2.7480000000000002</v>
      </c>
    </row>
    <row r="24" spans="1:14" x14ac:dyDescent="0.25">
      <c r="A24" s="196">
        <v>2044</v>
      </c>
      <c r="B24" s="184">
        <v>22</v>
      </c>
      <c r="C24" s="183">
        <v>64.125877793553173</v>
      </c>
      <c r="D24" s="147">
        <v>186.7886807289278</v>
      </c>
      <c r="E24" s="184">
        <v>0</v>
      </c>
      <c r="F24" s="183">
        <v>6.4125877793553165E-2</v>
      </c>
      <c r="G24" s="147">
        <v>8.6481688400479956E-2</v>
      </c>
      <c r="H24" s="184">
        <v>9.4129728871270704E-2</v>
      </c>
      <c r="I24" s="183">
        <v>2783</v>
      </c>
      <c r="J24" s="147">
        <v>8105</v>
      </c>
      <c r="K24" s="184">
        <v>0</v>
      </c>
      <c r="L24" s="183">
        <v>1.9470000000000001</v>
      </c>
      <c r="M24" s="147">
        <v>2.613</v>
      </c>
      <c r="N24" s="197">
        <v>2.8420000000000001</v>
      </c>
    </row>
    <row r="25" spans="1:14" x14ac:dyDescent="0.25">
      <c r="A25" s="196">
        <v>2045</v>
      </c>
      <c r="B25" s="184">
        <v>23</v>
      </c>
      <c r="C25" s="183">
        <v>60.496111125993551</v>
      </c>
      <c r="D25" s="147">
        <v>176.21573653672434</v>
      </c>
      <c r="E25" s="184">
        <v>0</v>
      </c>
      <c r="F25" s="183">
        <v>6.2438646804351142E-2</v>
      </c>
      <c r="G25" s="147">
        <v>8.4084044363192875E-2</v>
      </c>
      <c r="H25" s="184">
        <v>9.1576681979715011E-2</v>
      </c>
      <c r="I25" s="183">
        <v>2843</v>
      </c>
      <c r="J25" s="147">
        <v>8281</v>
      </c>
      <c r="K25" s="184">
        <v>0</v>
      </c>
      <c r="L25" s="183">
        <v>2.0089999999999999</v>
      </c>
      <c r="M25" s="147">
        <v>2.6970000000000001</v>
      </c>
      <c r="N25" s="197">
        <v>2.9329999999999998</v>
      </c>
    </row>
    <row r="26" spans="1:14" x14ac:dyDescent="0.25">
      <c r="A26" s="196">
        <v>2046</v>
      </c>
      <c r="B26" s="184">
        <v>24</v>
      </c>
      <c r="C26" s="183">
        <v>57.071802949050515</v>
      </c>
      <c r="D26" s="147">
        <v>166.24126088370218</v>
      </c>
      <c r="E26" s="184">
        <v>0</v>
      </c>
      <c r="F26" s="183">
        <v>6.0736964606328991E-2</v>
      </c>
      <c r="G26" s="147">
        <v>8.1680745505063115E-2</v>
      </c>
      <c r="H26" s="184">
        <v>8.9011068819620079E-2</v>
      </c>
      <c r="I26" s="183">
        <v>2900</v>
      </c>
      <c r="J26" s="147">
        <v>8448</v>
      </c>
      <c r="K26" s="184">
        <v>0</v>
      </c>
      <c r="L26" s="183">
        <v>2.0699999999999998</v>
      </c>
      <c r="M26" s="147">
        <v>2.7789999999999999</v>
      </c>
      <c r="N26" s="197">
        <v>3.0219999999999998</v>
      </c>
    </row>
    <row r="27" spans="1:14" x14ac:dyDescent="0.25">
      <c r="A27" s="196">
        <v>2047</v>
      </c>
      <c r="B27" s="198">
        <v>25</v>
      </c>
      <c r="C27" s="199">
        <v>53.841323536840115</v>
      </c>
      <c r="D27" s="200">
        <v>156.83137819217188</v>
      </c>
      <c r="E27" s="198">
        <v>0</v>
      </c>
      <c r="F27" s="199">
        <v>5.9027873051856819E-2</v>
      </c>
      <c r="G27" s="200">
        <v>7.9280114015255393E-2</v>
      </c>
      <c r="H27" s="198">
        <v>8.6442491916945127E-2</v>
      </c>
      <c r="I27" s="199">
        <v>2954</v>
      </c>
      <c r="J27" s="200">
        <v>8604</v>
      </c>
      <c r="K27" s="198">
        <v>0</v>
      </c>
      <c r="L27" s="199">
        <v>2.129</v>
      </c>
      <c r="M27" s="200">
        <v>2.8580000000000001</v>
      </c>
      <c r="N27" s="201">
        <v>3.109</v>
      </c>
    </row>
  </sheetData>
  <sheetProtection algorithmName="SHA-512" hashValue="A6z1uFcz7i7QtRdEEsz+DtwaLdexVSYAPvf5EIJLlTIcxqmg/kukv7XNK1UPNWSGzSi7qLJyXLPlzHXhhFDu1A==" saltValue="k/9RU9/BWPH6593qIGrxzQ==" spinCount="100000" sheet="1" objects="1" scenarios="1"/>
  <mergeCells count="4">
    <mergeCell ref="L1:N1"/>
    <mergeCell ref="I1:K1"/>
    <mergeCell ref="F1:H1"/>
    <mergeCell ref="C1:E1"/>
  </mergeCell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J28"/>
  <sheetViews>
    <sheetView showGridLines="0" workbookViewId="0"/>
  </sheetViews>
  <sheetFormatPr defaultColWidth="15.7109375" defaultRowHeight="15" x14ac:dyDescent="0.25"/>
  <cols>
    <col min="1" max="1" width="5.7109375" style="21" customWidth="1"/>
    <col min="2" max="2" width="36.42578125" style="21" bestFit="1" customWidth="1"/>
    <col min="3" max="3" width="5.7109375" style="21" customWidth="1"/>
    <col min="4" max="4" width="39.28515625" style="21" bestFit="1" customWidth="1"/>
    <col min="5" max="5" width="12.7109375" style="21" customWidth="1"/>
    <col min="6" max="6" width="30.42578125" style="21" bestFit="1" customWidth="1"/>
    <col min="7" max="7" width="11" style="21" bestFit="1" customWidth="1"/>
    <col min="8" max="8" width="9.42578125" style="21" bestFit="1" customWidth="1"/>
    <col min="9" max="9" width="11" style="21" bestFit="1" customWidth="1"/>
    <col min="10" max="10" width="9.42578125" style="21" bestFit="1" customWidth="1"/>
    <col min="11" max="16384" width="15.7109375" style="21"/>
  </cols>
  <sheetData>
    <row r="3" spans="2:10" ht="30" customHeight="1" x14ac:dyDescent="0.25">
      <c r="B3" s="20" t="s">
        <v>9</v>
      </c>
      <c r="D3" s="20" t="s">
        <v>10</v>
      </c>
      <c r="G3" s="309" t="s">
        <v>259</v>
      </c>
      <c r="H3" s="309"/>
      <c r="I3" s="310" t="s">
        <v>267</v>
      </c>
      <c r="J3" s="311"/>
    </row>
    <row r="4" spans="2:10" x14ac:dyDescent="0.25">
      <c r="B4" s="21" t="s">
        <v>274</v>
      </c>
      <c r="D4" s="21" t="s">
        <v>65</v>
      </c>
      <c r="G4" s="145" t="s">
        <v>260</v>
      </c>
      <c r="H4" s="146" t="s">
        <v>261</v>
      </c>
      <c r="I4" s="145" t="s">
        <v>260</v>
      </c>
      <c r="J4" s="146" t="s">
        <v>261</v>
      </c>
    </row>
    <row r="5" spans="2:10" x14ac:dyDescent="0.25">
      <c r="B5" s="21" t="s">
        <v>275</v>
      </c>
      <c r="D5" s="21" t="s">
        <v>66</v>
      </c>
      <c r="F5" s="147" t="s">
        <v>163</v>
      </c>
      <c r="G5" s="148">
        <v>1.25</v>
      </c>
      <c r="H5" s="149">
        <v>1.1299999999999999</v>
      </c>
      <c r="I5" s="149">
        <v>1.26</v>
      </c>
      <c r="J5" s="149">
        <v>1.1299999999999999</v>
      </c>
    </row>
    <row r="6" spans="2:10" x14ac:dyDescent="0.25">
      <c r="B6" s="21" t="s">
        <v>59</v>
      </c>
      <c r="D6" s="21" t="s">
        <v>67</v>
      </c>
      <c r="F6" s="147" t="s">
        <v>159</v>
      </c>
      <c r="G6" s="148">
        <v>1.26</v>
      </c>
      <c r="H6" s="149">
        <v>1.56</v>
      </c>
      <c r="I6" s="149">
        <v>1.25</v>
      </c>
      <c r="J6" s="149">
        <v>1.62</v>
      </c>
    </row>
    <row r="7" spans="2:10" x14ac:dyDescent="0.25">
      <c r="B7" s="21" t="s">
        <v>291</v>
      </c>
      <c r="D7" s="21" t="s">
        <v>68</v>
      </c>
      <c r="F7" s="147" t="s">
        <v>160</v>
      </c>
      <c r="G7" s="148">
        <v>1.3</v>
      </c>
      <c r="H7" s="149">
        <v>1.25</v>
      </c>
      <c r="I7" s="149">
        <v>1.31</v>
      </c>
      <c r="J7" s="149">
        <v>1.25</v>
      </c>
    </row>
    <row r="8" spans="2:10" x14ac:dyDescent="0.25">
      <c r="B8" s="21" t="s">
        <v>290</v>
      </c>
      <c r="D8" s="21" t="s">
        <v>69</v>
      </c>
      <c r="F8" s="147" t="s">
        <v>161</v>
      </c>
      <c r="G8" s="148">
        <v>1.1100000000000001</v>
      </c>
      <c r="H8" s="149">
        <v>1.1399999999999999</v>
      </c>
      <c r="I8" s="149">
        <v>1.0900000000000001</v>
      </c>
      <c r="J8" s="149">
        <v>1.1399999999999999</v>
      </c>
    </row>
    <row r="9" spans="2:10" ht="15" customHeight="1" x14ac:dyDescent="0.25">
      <c r="F9" s="147" t="s">
        <v>162</v>
      </c>
      <c r="G9" s="148">
        <v>1.23</v>
      </c>
      <c r="H9" s="149">
        <v>1.1399999999999999</v>
      </c>
      <c r="I9" s="149">
        <v>1.24</v>
      </c>
      <c r="J9" s="149">
        <v>1.1499999999999999</v>
      </c>
    </row>
    <row r="10" spans="2:10" x14ac:dyDescent="0.25">
      <c r="B10" s="20" t="s">
        <v>0</v>
      </c>
      <c r="D10" s="152" t="s">
        <v>158</v>
      </c>
      <c r="F10" s="147" t="s">
        <v>265</v>
      </c>
      <c r="G10" s="148">
        <v>1.27</v>
      </c>
      <c r="H10" s="149">
        <v>1.38</v>
      </c>
      <c r="I10" s="149">
        <v>1.27</v>
      </c>
      <c r="J10" s="149">
        <v>1.36</v>
      </c>
    </row>
    <row r="11" spans="2:10" x14ac:dyDescent="0.25">
      <c r="B11" s="21" t="s">
        <v>8</v>
      </c>
      <c r="D11" s="153" t="s">
        <v>163</v>
      </c>
      <c r="F11" s="147" t="s">
        <v>266</v>
      </c>
      <c r="G11" s="148">
        <v>1.19</v>
      </c>
      <c r="H11" s="149">
        <v>1.1200000000000001</v>
      </c>
      <c r="I11" s="149">
        <v>1.2</v>
      </c>
      <c r="J11" s="149">
        <v>1.1299999999999999</v>
      </c>
    </row>
    <row r="12" spans="2:10" x14ac:dyDescent="0.25">
      <c r="B12" s="21" t="s">
        <v>88</v>
      </c>
      <c r="D12" s="153" t="s">
        <v>159</v>
      </c>
      <c r="F12" s="147" t="s">
        <v>164</v>
      </c>
      <c r="G12" s="148">
        <v>1.08</v>
      </c>
      <c r="H12" s="149">
        <v>1.25</v>
      </c>
      <c r="I12" s="149">
        <v>1.07</v>
      </c>
      <c r="J12" s="149">
        <v>1.26</v>
      </c>
    </row>
    <row r="13" spans="2:10" x14ac:dyDescent="0.25">
      <c r="B13" s="21" t="s">
        <v>87</v>
      </c>
      <c r="D13" s="153" t="s">
        <v>160</v>
      </c>
      <c r="F13" s="147" t="s">
        <v>165</v>
      </c>
      <c r="G13" s="148">
        <v>1.22</v>
      </c>
      <c r="H13" s="149">
        <v>1.28</v>
      </c>
      <c r="I13" s="149">
        <v>1.24</v>
      </c>
      <c r="J13" s="149">
        <v>1.28</v>
      </c>
    </row>
    <row r="14" spans="2:10" x14ac:dyDescent="0.25">
      <c r="B14" s="21" t="s">
        <v>89</v>
      </c>
      <c r="D14" s="153" t="s">
        <v>161</v>
      </c>
      <c r="F14" s="147" t="s">
        <v>166</v>
      </c>
      <c r="G14" s="148">
        <v>1.39</v>
      </c>
      <c r="H14" s="149">
        <v>1.1399999999999999</v>
      </c>
      <c r="I14" s="149">
        <v>1.36</v>
      </c>
      <c r="J14" s="149">
        <v>1.1499999999999999</v>
      </c>
    </row>
    <row r="15" spans="2:10" x14ac:dyDescent="0.25">
      <c r="D15" s="153" t="s">
        <v>162</v>
      </c>
      <c r="F15" s="147" t="s">
        <v>167</v>
      </c>
      <c r="G15" s="148">
        <v>1.1499999999999999</v>
      </c>
      <c r="H15" s="149">
        <v>1.01</v>
      </c>
      <c r="I15" s="149">
        <v>1.1599999999999999</v>
      </c>
      <c r="J15" s="149">
        <v>1.01</v>
      </c>
    </row>
    <row r="16" spans="2:10" x14ac:dyDescent="0.25">
      <c r="B16" s="20" t="s">
        <v>98</v>
      </c>
      <c r="D16" s="153" t="s">
        <v>265</v>
      </c>
    </row>
    <row r="17" spans="2:6" x14ac:dyDescent="0.25">
      <c r="B17" s="21" t="s">
        <v>118</v>
      </c>
      <c r="D17" s="153" t="s">
        <v>266</v>
      </c>
      <c r="F17" s="150" t="s">
        <v>268</v>
      </c>
    </row>
    <row r="18" spans="2:6" x14ac:dyDescent="0.25">
      <c r="B18" s="21" t="s">
        <v>205</v>
      </c>
      <c r="D18" s="153" t="s">
        <v>164</v>
      </c>
      <c r="F18" s="147" t="s">
        <v>267</v>
      </c>
    </row>
    <row r="19" spans="2:6" x14ac:dyDescent="0.25">
      <c r="B19" s="21" t="s">
        <v>119</v>
      </c>
      <c r="D19" s="153" t="s">
        <v>165</v>
      </c>
      <c r="F19" s="147" t="s">
        <v>273</v>
      </c>
    </row>
    <row r="20" spans="2:6" x14ac:dyDescent="0.25">
      <c r="B20" s="21" t="s">
        <v>121</v>
      </c>
      <c r="D20" s="153" t="s">
        <v>166</v>
      </c>
    </row>
    <row r="21" spans="2:6" x14ac:dyDescent="0.25">
      <c r="B21" s="21" t="s">
        <v>103</v>
      </c>
      <c r="D21" s="153" t="s">
        <v>167</v>
      </c>
      <c r="F21" s="214" t="s">
        <v>362</v>
      </c>
    </row>
    <row r="22" spans="2:6" x14ac:dyDescent="0.25">
      <c r="B22" s="21" t="s">
        <v>120</v>
      </c>
      <c r="F22" s="151" t="s">
        <v>86</v>
      </c>
    </row>
    <row r="23" spans="2:6" x14ac:dyDescent="0.25">
      <c r="B23" s="21" t="s">
        <v>122</v>
      </c>
      <c r="D23" s="22" t="s">
        <v>238</v>
      </c>
      <c r="F23" s="151" t="s">
        <v>364</v>
      </c>
    </row>
    <row r="24" spans="2:6" x14ac:dyDescent="0.25">
      <c r="B24" s="21" t="s">
        <v>102</v>
      </c>
      <c r="D24" s="21" t="s">
        <v>239</v>
      </c>
    </row>
    <row r="25" spans="2:6" x14ac:dyDescent="0.25">
      <c r="D25" s="21" t="s">
        <v>240</v>
      </c>
    </row>
    <row r="26" spans="2:6" x14ac:dyDescent="0.25">
      <c r="B26" s="20" t="s">
        <v>369</v>
      </c>
    </row>
    <row r="27" spans="2:6" x14ac:dyDescent="0.25">
      <c r="B27" s="21" t="s">
        <v>370</v>
      </c>
    </row>
    <row r="28" spans="2:6" x14ac:dyDescent="0.25">
      <c r="B28" s="21" t="s">
        <v>371</v>
      </c>
    </row>
  </sheetData>
  <sheetProtection algorithmName="SHA-512" hashValue="aX8Jh/PbpAHkPR4sJ/ELnWBixz93wPW9udprN5xBSJg4C4+ytBOSV/XHS8U4W7PllZ80GBex46hB7hUlMR0Rsg==" saltValue="FNeRg0AB6Z+bY5ypdios0w==" spinCount="100000" sheet="1"/>
  <sortState xmlns:xlrd2="http://schemas.microsoft.com/office/spreadsheetml/2017/richdata2" ref="D12:D22">
    <sortCondition ref="D11"/>
  </sortState>
  <mergeCells count="2">
    <mergeCell ref="G3:H3"/>
    <mergeCell ref="I3:J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7"/>
  <sheetViews>
    <sheetView showGridLines="0" workbookViewId="0"/>
  </sheetViews>
  <sheetFormatPr defaultColWidth="10.7109375" defaultRowHeight="12.75" x14ac:dyDescent="0.2"/>
  <cols>
    <col min="1" max="1" width="5.7109375" style="3" customWidth="1"/>
    <col min="2" max="2" width="46.42578125" style="3" bestFit="1" customWidth="1"/>
    <col min="3" max="3" width="15.7109375" style="3" customWidth="1"/>
    <col min="4" max="4" width="34.28515625" style="3" bestFit="1" customWidth="1"/>
    <col min="5" max="6" width="15.7109375" style="3" customWidth="1"/>
    <col min="7" max="16384" width="10.7109375" style="3"/>
  </cols>
  <sheetData>
    <row r="1" spans="1:6" ht="14.65" customHeight="1" x14ac:dyDescent="0.2">
      <c r="B1" s="312" t="s">
        <v>264</v>
      </c>
      <c r="C1" s="312"/>
      <c r="D1" s="312"/>
      <c r="E1" s="312"/>
      <c r="F1" s="312"/>
    </row>
    <row r="2" spans="1:6" ht="13.9" customHeight="1" x14ac:dyDescent="0.2">
      <c r="B2" s="312"/>
      <c r="C2" s="312"/>
      <c r="D2" s="312"/>
      <c r="E2" s="312"/>
      <c r="F2" s="312"/>
    </row>
    <row r="3" spans="1:6" x14ac:dyDescent="0.2">
      <c r="B3" s="312"/>
      <c r="C3" s="312"/>
      <c r="D3" s="312"/>
      <c r="E3" s="312"/>
      <c r="F3" s="312"/>
    </row>
    <row r="5" spans="1:6" s="17" customFormat="1" x14ac:dyDescent="0.2">
      <c r="B5" s="17" t="s">
        <v>70</v>
      </c>
      <c r="C5" s="17" t="s">
        <v>9</v>
      </c>
      <c r="D5" s="17" t="s">
        <v>10</v>
      </c>
      <c r="E5" s="17" t="s">
        <v>71</v>
      </c>
      <c r="F5" s="17" t="s">
        <v>72</v>
      </c>
    </row>
    <row r="6" spans="1:6" x14ac:dyDescent="0.2">
      <c r="A6" s="17"/>
      <c r="B6" s="131" t="s">
        <v>292</v>
      </c>
      <c r="C6" s="131" t="s">
        <v>274</v>
      </c>
      <c r="D6" s="131" t="s">
        <v>65</v>
      </c>
      <c r="E6" s="131" t="s">
        <v>73</v>
      </c>
      <c r="F6" s="140">
        <v>0</v>
      </c>
    </row>
    <row r="7" spans="1:6" ht="15" x14ac:dyDescent="0.25">
      <c r="A7" s="17"/>
      <c r="B7" s="131" t="s">
        <v>293</v>
      </c>
      <c r="C7" s="131" t="s">
        <v>274</v>
      </c>
      <c r="D7" s="131" t="s">
        <v>65</v>
      </c>
      <c r="E7" s="131" t="s">
        <v>74</v>
      </c>
      <c r="F7" s="141">
        <v>0.29014199999999996</v>
      </c>
    </row>
    <row r="8" spans="1:6" ht="15" x14ac:dyDescent="0.25">
      <c r="A8" s="17"/>
      <c r="B8" s="142" t="s">
        <v>294</v>
      </c>
      <c r="C8" s="142" t="s">
        <v>274</v>
      </c>
      <c r="D8" s="142" t="s">
        <v>66</v>
      </c>
      <c r="E8" s="142" t="s">
        <v>73</v>
      </c>
      <c r="F8" s="143">
        <v>13</v>
      </c>
    </row>
    <row r="9" spans="1:6" ht="15" x14ac:dyDescent="0.25">
      <c r="A9" s="17"/>
      <c r="B9" s="142" t="s">
        <v>295</v>
      </c>
      <c r="C9" s="142" t="s">
        <v>274</v>
      </c>
      <c r="D9" s="142" t="s">
        <v>66</v>
      </c>
      <c r="E9" s="142" t="s">
        <v>74</v>
      </c>
      <c r="F9" s="143">
        <v>0.24322499999999997</v>
      </c>
    </row>
    <row r="10" spans="1:6" ht="15" x14ac:dyDescent="0.25">
      <c r="A10" s="17"/>
      <c r="B10" s="131" t="s">
        <v>296</v>
      </c>
      <c r="C10" s="131" t="s">
        <v>274</v>
      </c>
      <c r="D10" s="131" t="s">
        <v>67</v>
      </c>
      <c r="E10" s="131" t="s">
        <v>73</v>
      </c>
      <c r="F10" s="141">
        <v>23</v>
      </c>
    </row>
    <row r="11" spans="1:6" ht="15" x14ac:dyDescent="0.25">
      <c r="A11" s="17"/>
      <c r="B11" s="131" t="s">
        <v>297</v>
      </c>
      <c r="C11" s="131" t="s">
        <v>274</v>
      </c>
      <c r="D11" s="131" t="s">
        <v>67</v>
      </c>
      <c r="E11" s="131" t="s">
        <v>74</v>
      </c>
      <c r="F11" s="141">
        <v>0.20881699999999995</v>
      </c>
    </row>
    <row r="12" spans="1:6" ht="15" x14ac:dyDescent="0.25">
      <c r="A12" s="17"/>
      <c r="B12" s="142" t="s">
        <v>298</v>
      </c>
      <c r="C12" s="142" t="s">
        <v>274</v>
      </c>
      <c r="D12" s="142" t="s">
        <v>68</v>
      </c>
      <c r="E12" s="142" t="s">
        <v>73</v>
      </c>
      <c r="F12" s="143">
        <v>26.5</v>
      </c>
    </row>
    <row r="13" spans="1:6" ht="15" x14ac:dyDescent="0.25">
      <c r="A13" s="17"/>
      <c r="B13" s="142" t="s">
        <v>299</v>
      </c>
      <c r="C13" s="142" t="s">
        <v>274</v>
      </c>
      <c r="D13" s="142" t="s">
        <v>68</v>
      </c>
      <c r="E13" s="142" t="s">
        <v>74</v>
      </c>
      <c r="F13" s="143">
        <v>0.21674199999999996</v>
      </c>
    </row>
    <row r="14" spans="1:6" x14ac:dyDescent="0.2">
      <c r="A14" s="17"/>
      <c r="B14" s="131" t="s">
        <v>300</v>
      </c>
      <c r="C14" s="131" t="s">
        <v>274</v>
      </c>
      <c r="D14" s="131" t="s">
        <v>69</v>
      </c>
      <c r="E14" s="131" t="s">
        <v>73</v>
      </c>
      <c r="F14" s="140">
        <v>0</v>
      </c>
    </row>
    <row r="15" spans="1:6" ht="15" x14ac:dyDescent="0.25">
      <c r="A15" s="17"/>
      <c r="B15" s="131" t="s">
        <v>301</v>
      </c>
      <c r="C15" s="131" t="s">
        <v>274</v>
      </c>
      <c r="D15" s="131" t="s">
        <v>69</v>
      </c>
      <c r="E15" s="131" t="s">
        <v>74</v>
      </c>
      <c r="F15" s="141">
        <v>0.29408400000000001</v>
      </c>
    </row>
    <row r="16" spans="1:6" x14ac:dyDescent="0.2">
      <c r="A16" s="17"/>
      <c r="B16" s="142" t="s">
        <v>302</v>
      </c>
      <c r="C16" s="142" t="s">
        <v>275</v>
      </c>
      <c r="D16" s="142" t="str">
        <f>D6</f>
        <v>Schedule G - General Non-Demand</v>
      </c>
      <c r="E16" s="142" t="s">
        <v>73</v>
      </c>
      <c r="F16" s="144">
        <v>0</v>
      </c>
    </row>
    <row r="17" spans="1:6" ht="15" x14ac:dyDescent="0.25">
      <c r="A17" s="17"/>
      <c r="B17" s="142" t="s">
        <v>303</v>
      </c>
      <c r="C17" s="142" t="s">
        <v>275</v>
      </c>
      <c r="D17" s="142" t="str">
        <f t="shared" ref="D17:D25" si="0">D7</f>
        <v>Schedule G - General Non-Demand</v>
      </c>
      <c r="E17" s="142" t="s">
        <v>74</v>
      </c>
      <c r="F17" s="143">
        <v>0.37614300000000001</v>
      </c>
    </row>
    <row r="18" spans="1:6" ht="15" x14ac:dyDescent="0.25">
      <c r="A18" s="17"/>
      <c r="B18" s="131" t="s">
        <v>304</v>
      </c>
      <c r="C18" s="131" t="s">
        <v>275</v>
      </c>
      <c r="D18" s="131" t="str">
        <f t="shared" si="0"/>
        <v>Schedule J - General Demand</v>
      </c>
      <c r="E18" s="131" t="s">
        <v>73</v>
      </c>
      <c r="F18" s="141">
        <v>13</v>
      </c>
    </row>
    <row r="19" spans="1:6" ht="15" x14ac:dyDescent="0.25">
      <c r="A19" s="17"/>
      <c r="B19" s="131" t="s">
        <v>305</v>
      </c>
      <c r="C19" s="131" t="s">
        <v>275</v>
      </c>
      <c r="D19" s="131" t="str">
        <f t="shared" si="0"/>
        <v>Schedule J - General Demand</v>
      </c>
      <c r="E19" s="131" t="s">
        <v>74</v>
      </c>
      <c r="F19" s="141">
        <v>0.30111499999999997</v>
      </c>
    </row>
    <row r="20" spans="1:6" x14ac:dyDescent="0.2">
      <c r="A20" s="17"/>
      <c r="B20" s="142" t="s">
        <v>306</v>
      </c>
      <c r="C20" s="142" t="s">
        <v>275</v>
      </c>
      <c r="D20" s="142" t="str">
        <f t="shared" si="0"/>
        <v>Schedule DS - Large Power Directly Served</v>
      </c>
      <c r="E20" s="142" t="s">
        <v>73</v>
      </c>
      <c r="F20" s="144">
        <v>0</v>
      </c>
    </row>
    <row r="21" spans="1:6" x14ac:dyDescent="0.2">
      <c r="A21" s="17"/>
      <c r="B21" s="142" t="s">
        <v>307</v>
      </c>
      <c r="C21" s="142" t="s">
        <v>275</v>
      </c>
      <c r="D21" s="142" t="str">
        <f t="shared" si="0"/>
        <v>Schedule DS - Large Power Directly Served</v>
      </c>
      <c r="E21" s="142" t="s">
        <v>74</v>
      </c>
      <c r="F21" s="144">
        <v>0</v>
      </c>
    </row>
    <row r="22" spans="1:6" ht="15" x14ac:dyDescent="0.25">
      <c r="A22" s="17"/>
      <c r="B22" s="131" t="s">
        <v>308</v>
      </c>
      <c r="C22" s="131" t="s">
        <v>275</v>
      </c>
      <c r="D22" s="131" t="str">
        <f t="shared" si="0"/>
        <v>Schedule P - Large Power</v>
      </c>
      <c r="E22" s="131" t="s">
        <v>73</v>
      </c>
      <c r="F22" s="141">
        <v>25</v>
      </c>
    </row>
    <row r="23" spans="1:6" ht="15" x14ac:dyDescent="0.25">
      <c r="A23" s="17"/>
      <c r="B23" s="131" t="s">
        <v>309</v>
      </c>
      <c r="C23" s="131" t="s">
        <v>275</v>
      </c>
      <c r="D23" s="131" t="str">
        <f t="shared" si="0"/>
        <v>Schedule P - Large Power</v>
      </c>
      <c r="E23" s="131" t="s">
        <v>74</v>
      </c>
      <c r="F23" s="141">
        <v>0.26228999999999997</v>
      </c>
    </row>
    <row r="24" spans="1:6" x14ac:dyDescent="0.2">
      <c r="A24" s="17"/>
      <c r="B24" s="142" t="s">
        <v>310</v>
      </c>
      <c r="C24" s="142" t="s">
        <v>275</v>
      </c>
      <c r="D24" s="142" t="str">
        <f t="shared" si="0"/>
        <v>Schedule F - Public Street Lighting</v>
      </c>
      <c r="E24" s="142" t="s">
        <v>73</v>
      </c>
      <c r="F24" s="144">
        <v>0</v>
      </c>
    </row>
    <row r="25" spans="1:6" ht="15" x14ac:dyDescent="0.25">
      <c r="A25" s="17"/>
      <c r="B25" s="142" t="s">
        <v>311</v>
      </c>
      <c r="C25" s="142" t="s">
        <v>275</v>
      </c>
      <c r="D25" s="142" t="str">
        <f t="shared" si="0"/>
        <v>Schedule F - Public Street Lighting</v>
      </c>
      <c r="E25" s="142" t="s">
        <v>74</v>
      </c>
      <c r="F25" s="143">
        <v>0.38118999999999997</v>
      </c>
    </row>
    <row r="26" spans="1:6" x14ac:dyDescent="0.2">
      <c r="A26" s="17"/>
      <c r="B26" s="131" t="s">
        <v>75</v>
      </c>
      <c r="C26" s="131" t="s">
        <v>59</v>
      </c>
      <c r="D26" s="131" t="str">
        <f>D6</f>
        <v>Schedule G - General Non-Demand</v>
      </c>
      <c r="E26" s="131" t="s">
        <v>73</v>
      </c>
      <c r="F26" s="140">
        <v>0</v>
      </c>
    </row>
    <row r="27" spans="1:6" ht="15" x14ac:dyDescent="0.25">
      <c r="A27" s="17"/>
      <c r="B27" s="131" t="s">
        <v>76</v>
      </c>
      <c r="C27" s="131" t="s">
        <v>59</v>
      </c>
      <c r="D27" s="131" t="str">
        <f t="shared" ref="D27:D35" si="1">D7</f>
        <v>Schedule G - General Non-Demand</v>
      </c>
      <c r="E27" s="131" t="s">
        <v>74</v>
      </c>
      <c r="F27" s="141">
        <v>0.34626407619999999</v>
      </c>
    </row>
    <row r="28" spans="1:6" ht="15" x14ac:dyDescent="0.25">
      <c r="A28" s="17"/>
      <c r="B28" s="142" t="s">
        <v>77</v>
      </c>
      <c r="C28" s="142" t="s">
        <v>59</v>
      </c>
      <c r="D28" s="142" t="str">
        <f t="shared" si="1"/>
        <v>Schedule J - General Demand</v>
      </c>
      <c r="E28" s="142" t="s">
        <v>73</v>
      </c>
      <c r="F28" s="143">
        <v>12.737399999999999</v>
      </c>
    </row>
    <row r="29" spans="1:6" ht="15" x14ac:dyDescent="0.25">
      <c r="A29" s="17"/>
      <c r="B29" s="142" t="s">
        <v>78</v>
      </c>
      <c r="C29" s="142" t="s">
        <v>59</v>
      </c>
      <c r="D29" s="142" t="str">
        <f t="shared" si="1"/>
        <v>Schedule J - General Demand</v>
      </c>
      <c r="E29" s="142" t="s">
        <v>74</v>
      </c>
      <c r="F29" s="143">
        <v>0.3012012154</v>
      </c>
    </row>
    <row r="30" spans="1:6" x14ac:dyDescent="0.2">
      <c r="A30" s="17"/>
      <c r="B30" s="131" t="s">
        <v>79</v>
      </c>
      <c r="C30" s="131" t="s">
        <v>59</v>
      </c>
      <c r="D30" s="131" t="str">
        <f t="shared" si="1"/>
        <v>Schedule DS - Large Power Directly Served</v>
      </c>
      <c r="E30" s="131" t="s">
        <v>73</v>
      </c>
      <c r="F30" s="140">
        <v>0</v>
      </c>
    </row>
    <row r="31" spans="1:6" x14ac:dyDescent="0.2">
      <c r="A31" s="17"/>
      <c r="B31" s="131" t="s">
        <v>80</v>
      </c>
      <c r="C31" s="131" t="s">
        <v>59</v>
      </c>
      <c r="D31" s="131" t="str">
        <f t="shared" si="1"/>
        <v>Schedule DS - Large Power Directly Served</v>
      </c>
      <c r="E31" s="131" t="s">
        <v>74</v>
      </c>
      <c r="F31" s="140">
        <v>0</v>
      </c>
    </row>
    <row r="32" spans="1:6" ht="15" x14ac:dyDescent="0.25">
      <c r="A32" s="17"/>
      <c r="B32" s="142" t="s">
        <v>81</v>
      </c>
      <c r="C32" s="142" t="s">
        <v>59</v>
      </c>
      <c r="D32" s="142" t="str">
        <f t="shared" si="1"/>
        <v>Schedule P - Large Power</v>
      </c>
      <c r="E32" s="142" t="s">
        <v>73</v>
      </c>
      <c r="F32" s="143">
        <v>24.495000000000001</v>
      </c>
    </row>
    <row r="33" spans="1:6" ht="15" x14ac:dyDescent="0.25">
      <c r="A33" s="17"/>
      <c r="B33" s="142" t="s">
        <v>82</v>
      </c>
      <c r="C33" s="142" t="s">
        <v>59</v>
      </c>
      <c r="D33" s="142" t="str">
        <f t="shared" si="1"/>
        <v>Schedule P - Large Power</v>
      </c>
      <c r="E33" s="142" t="s">
        <v>74</v>
      </c>
      <c r="F33" s="143">
        <v>0.27782006619999999</v>
      </c>
    </row>
    <row r="34" spans="1:6" x14ac:dyDescent="0.2">
      <c r="A34" s="17"/>
      <c r="B34" s="131" t="s">
        <v>83</v>
      </c>
      <c r="C34" s="131" t="s">
        <v>59</v>
      </c>
      <c r="D34" s="131" t="str">
        <f t="shared" si="1"/>
        <v>Schedule F - Public Street Lighting</v>
      </c>
      <c r="E34" s="131" t="s">
        <v>73</v>
      </c>
      <c r="F34" s="140">
        <v>0</v>
      </c>
    </row>
    <row r="35" spans="1:6" ht="15" x14ac:dyDescent="0.25">
      <c r="A35" s="17"/>
      <c r="B35" s="131" t="s">
        <v>84</v>
      </c>
      <c r="C35" s="131" t="s">
        <v>59</v>
      </c>
      <c r="D35" s="131" t="str">
        <f t="shared" si="1"/>
        <v>Schedule F - Public Street Lighting</v>
      </c>
      <c r="E35" s="131" t="s">
        <v>74</v>
      </c>
      <c r="F35" s="141">
        <v>0.33700296499999999</v>
      </c>
    </row>
    <row r="36" spans="1:6" x14ac:dyDescent="0.2">
      <c r="A36" s="17"/>
      <c r="B36" s="142" t="s">
        <v>312</v>
      </c>
      <c r="C36" s="142" t="s">
        <v>291</v>
      </c>
      <c r="D36" s="142" t="str">
        <f>D6</f>
        <v>Schedule G - General Non-Demand</v>
      </c>
      <c r="E36" s="142" t="s">
        <v>73</v>
      </c>
      <c r="F36" s="144">
        <v>0</v>
      </c>
    </row>
    <row r="37" spans="1:6" ht="15" x14ac:dyDescent="0.25">
      <c r="A37" s="17"/>
      <c r="B37" s="142" t="s">
        <v>313</v>
      </c>
      <c r="C37" s="142" t="s">
        <v>291</v>
      </c>
      <c r="D37" s="142" t="str">
        <f t="shared" ref="D37:D45" si="2">D7</f>
        <v>Schedule G - General Non-Demand</v>
      </c>
      <c r="E37" s="142" t="s">
        <v>74</v>
      </c>
      <c r="F37" s="143">
        <v>0.42194525620000001</v>
      </c>
    </row>
    <row r="38" spans="1:6" ht="15" x14ac:dyDescent="0.25">
      <c r="A38" s="17"/>
      <c r="B38" s="131" t="s">
        <v>314</v>
      </c>
      <c r="C38" s="131" t="s">
        <v>291</v>
      </c>
      <c r="D38" s="131" t="str">
        <f t="shared" si="2"/>
        <v>Schedule J - General Demand</v>
      </c>
      <c r="E38" s="131" t="s">
        <v>73</v>
      </c>
      <c r="F38" s="141">
        <v>12.7387</v>
      </c>
    </row>
    <row r="39" spans="1:6" ht="15" x14ac:dyDescent="0.25">
      <c r="A39" s="17"/>
      <c r="B39" s="131" t="s">
        <v>315</v>
      </c>
      <c r="C39" s="131" t="s">
        <v>291</v>
      </c>
      <c r="D39" s="131" t="str">
        <f t="shared" si="2"/>
        <v>Schedule J - General Demand</v>
      </c>
      <c r="E39" s="131" t="s">
        <v>74</v>
      </c>
      <c r="F39" s="141">
        <v>0.40254634009999996</v>
      </c>
    </row>
    <row r="40" spans="1:6" x14ac:dyDescent="0.2">
      <c r="A40" s="17"/>
      <c r="B40" s="142" t="s">
        <v>316</v>
      </c>
      <c r="C40" s="142" t="s">
        <v>291</v>
      </c>
      <c r="D40" s="142" t="str">
        <f t="shared" si="2"/>
        <v>Schedule DS - Large Power Directly Served</v>
      </c>
      <c r="E40" s="142" t="s">
        <v>73</v>
      </c>
      <c r="F40" s="144">
        <v>0</v>
      </c>
    </row>
    <row r="41" spans="1:6" x14ac:dyDescent="0.2">
      <c r="A41" s="17"/>
      <c r="B41" s="142" t="s">
        <v>317</v>
      </c>
      <c r="C41" s="142" t="s">
        <v>291</v>
      </c>
      <c r="D41" s="142" t="str">
        <f t="shared" si="2"/>
        <v>Schedule DS - Large Power Directly Served</v>
      </c>
      <c r="E41" s="142" t="s">
        <v>74</v>
      </c>
      <c r="F41" s="144">
        <v>0</v>
      </c>
    </row>
    <row r="42" spans="1:6" ht="15" x14ac:dyDescent="0.25">
      <c r="A42" s="17"/>
      <c r="B42" s="131" t="s">
        <v>318</v>
      </c>
      <c r="C42" s="131" t="s">
        <v>291</v>
      </c>
      <c r="D42" s="131" t="str">
        <f t="shared" si="2"/>
        <v>Schedule P - Large Power</v>
      </c>
      <c r="E42" s="131" t="s">
        <v>73</v>
      </c>
      <c r="F42" s="141">
        <v>24.4925</v>
      </c>
    </row>
    <row r="43" spans="1:6" ht="15" x14ac:dyDescent="0.25">
      <c r="A43" s="17"/>
      <c r="B43" s="131" t="s">
        <v>319</v>
      </c>
      <c r="C43" s="131" t="s">
        <v>291</v>
      </c>
      <c r="D43" s="131" t="str">
        <f t="shared" si="2"/>
        <v>Schedule P - Large Power</v>
      </c>
      <c r="E43" s="131" t="s">
        <v>74</v>
      </c>
      <c r="F43" s="141">
        <v>0.36551579780000004</v>
      </c>
    </row>
    <row r="44" spans="1:6" x14ac:dyDescent="0.2">
      <c r="A44" s="17"/>
      <c r="B44" s="142" t="s">
        <v>320</v>
      </c>
      <c r="C44" s="142" t="s">
        <v>291</v>
      </c>
      <c r="D44" s="142" t="str">
        <f t="shared" si="2"/>
        <v>Schedule F - Public Street Lighting</v>
      </c>
      <c r="E44" s="142" t="s">
        <v>73</v>
      </c>
      <c r="F44" s="144">
        <v>0</v>
      </c>
    </row>
    <row r="45" spans="1:6" ht="15" x14ac:dyDescent="0.25">
      <c r="A45" s="17"/>
      <c r="B45" s="142" t="s">
        <v>321</v>
      </c>
      <c r="C45" s="142" t="s">
        <v>291</v>
      </c>
      <c r="D45" s="142" t="str">
        <f t="shared" si="2"/>
        <v>Schedule F - Public Street Lighting</v>
      </c>
      <c r="E45" s="142" t="s">
        <v>74</v>
      </c>
      <c r="F45" s="143">
        <v>0.41825306030000003</v>
      </c>
    </row>
    <row r="46" spans="1:6" x14ac:dyDescent="0.2">
      <c r="A46" s="17"/>
      <c r="B46" s="131" t="s">
        <v>322</v>
      </c>
      <c r="C46" s="131" t="s">
        <v>290</v>
      </c>
      <c r="D46" s="131" t="str">
        <f>D6</f>
        <v>Schedule G - General Non-Demand</v>
      </c>
      <c r="E46" s="131" t="s">
        <v>73</v>
      </c>
      <c r="F46" s="140">
        <v>0</v>
      </c>
    </row>
    <row r="47" spans="1:6" ht="15" x14ac:dyDescent="0.25">
      <c r="A47" s="17"/>
      <c r="B47" s="131" t="s">
        <v>323</v>
      </c>
      <c r="C47" s="131" t="s">
        <v>290</v>
      </c>
      <c r="D47" s="131" t="str">
        <f t="shared" ref="D47:D55" si="3">D7</f>
        <v>Schedule G - General Non-Demand</v>
      </c>
      <c r="E47" s="131" t="s">
        <v>74</v>
      </c>
      <c r="F47" s="141">
        <v>0.44534332659999998</v>
      </c>
    </row>
    <row r="48" spans="1:6" ht="15" x14ac:dyDescent="0.25">
      <c r="A48" s="17"/>
      <c r="B48" s="142" t="s">
        <v>324</v>
      </c>
      <c r="C48" s="142" t="s">
        <v>290</v>
      </c>
      <c r="D48" s="142" t="str">
        <f t="shared" si="3"/>
        <v>Schedule J - General Demand</v>
      </c>
      <c r="E48" s="142" t="s">
        <v>73</v>
      </c>
      <c r="F48" s="143">
        <v>12.7361</v>
      </c>
    </row>
    <row r="49" spans="1:6" ht="15" x14ac:dyDescent="0.25">
      <c r="A49" s="17"/>
      <c r="B49" s="142" t="s">
        <v>325</v>
      </c>
      <c r="C49" s="142" t="s">
        <v>290</v>
      </c>
      <c r="D49" s="142" t="str">
        <f t="shared" si="3"/>
        <v>Schedule J - General Demand</v>
      </c>
      <c r="E49" s="142" t="s">
        <v>74</v>
      </c>
      <c r="F49" s="143">
        <v>0.36488632649999997</v>
      </c>
    </row>
    <row r="50" spans="1:6" x14ac:dyDescent="0.2">
      <c r="A50" s="17"/>
      <c r="B50" s="131" t="s">
        <v>326</v>
      </c>
      <c r="C50" s="131" t="s">
        <v>290</v>
      </c>
      <c r="D50" s="131" t="str">
        <f t="shared" si="3"/>
        <v>Schedule DS - Large Power Directly Served</v>
      </c>
      <c r="E50" s="131" t="s">
        <v>73</v>
      </c>
      <c r="F50" s="140">
        <v>0</v>
      </c>
    </row>
    <row r="51" spans="1:6" x14ac:dyDescent="0.2">
      <c r="A51" s="17"/>
      <c r="B51" s="131" t="s">
        <v>327</v>
      </c>
      <c r="C51" s="131" t="s">
        <v>290</v>
      </c>
      <c r="D51" s="131" t="str">
        <f t="shared" si="3"/>
        <v>Schedule DS - Large Power Directly Served</v>
      </c>
      <c r="E51" s="131" t="s">
        <v>74</v>
      </c>
      <c r="F51" s="140">
        <v>0</v>
      </c>
    </row>
    <row r="52" spans="1:6" ht="15" x14ac:dyDescent="0.25">
      <c r="A52" s="17"/>
      <c r="B52" s="142" t="s">
        <v>328</v>
      </c>
      <c r="C52" s="142" t="s">
        <v>290</v>
      </c>
      <c r="D52" s="142" t="str">
        <f t="shared" si="3"/>
        <v>Schedule P - Large Power</v>
      </c>
      <c r="E52" s="142" t="s">
        <v>73</v>
      </c>
      <c r="F52" s="143">
        <v>17.638200000000001</v>
      </c>
    </row>
    <row r="53" spans="1:6" ht="15" x14ac:dyDescent="0.25">
      <c r="A53" s="17"/>
      <c r="B53" s="142" t="s">
        <v>329</v>
      </c>
      <c r="C53" s="142" t="s">
        <v>290</v>
      </c>
      <c r="D53" s="142" t="str">
        <f t="shared" si="3"/>
        <v>Schedule P - Large Power</v>
      </c>
      <c r="E53" s="142" t="s">
        <v>74</v>
      </c>
      <c r="F53" s="143">
        <v>0.2986932169</v>
      </c>
    </row>
    <row r="54" spans="1:6" x14ac:dyDescent="0.2">
      <c r="A54" s="17"/>
      <c r="B54" s="131" t="s">
        <v>330</v>
      </c>
      <c r="C54" s="131" t="s">
        <v>290</v>
      </c>
      <c r="D54" s="131" t="str">
        <f t="shared" si="3"/>
        <v>Schedule F - Public Street Lighting</v>
      </c>
      <c r="E54" s="131" t="s">
        <v>73</v>
      </c>
      <c r="F54" s="140">
        <v>0</v>
      </c>
    </row>
    <row r="55" spans="1:6" ht="15" x14ac:dyDescent="0.25">
      <c r="A55" s="17"/>
      <c r="B55" s="131" t="s">
        <v>331</v>
      </c>
      <c r="C55" s="131" t="s">
        <v>290</v>
      </c>
      <c r="D55" s="131" t="str">
        <f t="shared" si="3"/>
        <v>Schedule F - Public Street Lighting</v>
      </c>
      <c r="E55" s="131" t="s">
        <v>74</v>
      </c>
      <c r="F55" s="141">
        <v>0.40521261809999998</v>
      </c>
    </row>
    <row r="56" spans="1:6" x14ac:dyDescent="0.2">
      <c r="A56" s="17"/>
    </row>
    <row r="57" spans="1:6" x14ac:dyDescent="0.2">
      <c r="A57" s="17"/>
    </row>
  </sheetData>
  <sheetProtection algorithmName="SHA-512" hashValue="MAkUdnGRpR/3kzFQ/Pdqg9ZTmFsDePh44c5jAZHxi1hKw/e5tMwFDdULOj0UjmdmZNuRfYvDft9561Vt0nYWbA==" saltValue="n6IyTYj5qRMD+dVSYaUvOw==" spinCount="100000" sheet="1" objects="1" scenarios="1"/>
  <mergeCells count="1">
    <mergeCell ref="B1:F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c8d5760e-638a-47e8-9e2e-1226c2cb268d" origin="userSelected">
  <element uid="42834bfb-1ec1-4beb-bd64-eb83fb3cb3f3"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TEVJRE9TLUNPUlBcbmdvdm48L1VzZXJOYW1lPjxEYXRlVGltZT42LzE5LzIwMTkgOToxNDozMiBQTTwvRGF0ZVRpbWU+PExhYmVsU3RyaW5nPlVucmVzdHJpY3RlZDwvTGFiZWxTdHJpbmc+PC9pdGVtPjwvbGFiZWxIaXN0b3J5Pg==</Value>
</WrappedLabelHistory>
</file>

<file path=customXml/itemProps1.xml><?xml version="1.0" encoding="utf-8"?>
<ds:datastoreItem xmlns:ds="http://schemas.openxmlformats.org/officeDocument/2006/customXml" ds:itemID="{8D15BDB2-4E14-4D2F-8BD3-43B53A578EB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7ED4B8E7-5D65-4D3D-958A-B75B45FC9B4C}">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37</vt:i4>
      </vt:variant>
    </vt:vector>
  </HeadingPairs>
  <TitlesOfParts>
    <vt:vector size="44" baseType="lpstr">
      <vt:lpstr>Program Rules &amp; Worksheet Tips</vt:lpstr>
      <vt:lpstr>Lighting Input</vt:lpstr>
      <vt:lpstr>Overview</vt:lpstr>
      <vt:lpstr>Financial Review Total Project</vt:lpstr>
      <vt:lpstr>Avoided Cost Table</vt:lpstr>
      <vt:lpstr>Lookup Tables</vt:lpstr>
      <vt:lpstr>Effective Rates</vt:lpstr>
      <vt:lpstr>Area</vt:lpstr>
      <vt:lpstr>Base_Energy</vt:lpstr>
      <vt:lpstr>Base_MaintenanceCost</vt:lpstr>
      <vt:lpstr>Base_OperatingHours</vt:lpstr>
      <vt:lpstr>Base_PeakDemand</vt:lpstr>
      <vt:lpstr>Base_TotalDemand</vt:lpstr>
      <vt:lpstr>County</vt:lpstr>
      <vt:lpstr>DemandIncentive</vt:lpstr>
      <vt:lpstr>DollarPerkW_Hawaii</vt:lpstr>
      <vt:lpstr>DollarPerkW_Maui</vt:lpstr>
      <vt:lpstr>DollarPerkW_Oahu</vt:lpstr>
      <vt:lpstr>DollarPerkWh_Hawaii</vt:lpstr>
      <vt:lpstr>DollarPerkWh_Maui</vt:lpstr>
      <vt:lpstr>DollarPerkWh_Oahu</vt:lpstr>
      <vt:lpstr>EffectiveDemandRate</vt:lpstr>
      <vt:lpstr>EffectiveEnergyRate</vt:lpstr>
      <vt:lpstr>EnergyIncentive</vt:lpstr>
      <vt:lpstr>Enhanced_Energy</vt:lpstr>
      <vt:lpstr>Enhanced_MaintenanceCost</vt:lpstr>
      <vt:lpstr>Enhanced_OperatingHours</vt:lpstr>
      <vt:lpstr>Enhanced_PeakDemand</vt:lpstr>
      <vt:lpstr>Enhanced_TotalDemand</vt:lpstr>
      <vt:lpstr>FirstYearEnergySavings</vt:lpstr>
      <vt:lpstr>Island</vt:lpstr>
      <vt:lpstr>IslandLosses</vt:lpstr>
      <vt:lpstr>Lookup_AC</vt:lpstr>
      <vt:lpstr>Lookup_EffectiveRate</vt:lpstr>
      <vt:lpstr>Lookup_FacilityType</vt:lpstr>
      <vt:lpstr>Lookup_FixtureType</vt:lpstr>
      <vt:lpstr>Lookup_Island</vt:lpstr>
      <vt:lpstr>Lookup_Location</vt:lpstr>
      <vt:lpstr>Lookup_RateSchedule</vt:lpstr>
      <vt:lpstr>MeasureLife</vt:lpstr>
      <vt:lpstr>'Lighting Input'!Print_Area</vt:lpstr>
      <vt:lpstr>Project_Type</vt:lpstr>
      <vt:lpstr>TotalProjectCost</vt:lpstr>
      <vt:lpstr>YearCompleted</vt:lpstr>
    </vt:vector>
  </TitlesOfParts>
  <Company>Leidos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Ganigan, Jared M.</dc:creator>
  <cp:lastModifiedBy>Ngo, Vinh-Phong N. [US-US]</cp:lastModifiedBy>
  <cp:lastPrinted>2019-07-02T22:20:27Z</cp:lastPrinted>
  <dcterms:created xsi:type="dcterms:W3CDTF">2016-12-10T01:10:42Z</dcterms:created>
  <dcterms:modified xsi:type="dcterms:W3CDTF">2023-06-29T23:58:28Z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5d2333b8-8daf-4da2-a9f1-01d603db2b91</vt:lpwstr>
  </property>
  <property fmtid="{D5CDD505-2E9C-101B-9397-08002B2CF9AE}" pid="3" name="bjSaver">
    <vt:lpwstr>G3ikdu48ttcEijIqm8mmgifimqM5dooD</vt:lpwstr>
  </property>
  <property fmtid="{D5CDD505-2E9C-101B-9397-08002B2CF9AE}" pid="4" name="bjDocumentSecurityLabel">
    <vt:lpwstr>Unrestricted</vt:lpwstr>
  </property>
  <property fmtid="{D5CDD505-2E9C-101B-9397-08002B2CF9AE}" pid="5" name="bjLabelHistoryID">
    <vt:lpwstr>{7ED4B8E7-5D65-4D3D-958A-B75B45FC9B4C}</vt:lpwstr>
  </property>
  <property fmtid="{D5CDD505-2E9C-101B-9397-08002B2CF9AE}" pid="6" name="bjDocumentLabelXML">
    <vt:lpwstr>&lt;?xml version="1.0" encoding="us-ascii"?&gt;&lt;sisl xmlns:xsd="http://www.w3.org/2001/XMLSchema" xmlns:xsi="http://www.w3.org/2001/XMLSchema-instance" sislVersion="0" policy="c8d5760e-638a-47e8-9e2e-1226c2cb268d" origin="userSelected" xmlns="http://www.boldonj</vt:lpwstr>
  </property>
  <property fmtid="{D5CDD505-2E9C-101B-9397-08002B2CF9AE}" pid="7" name="bjDocumentLabelXML-0">
    <vt:lpwstr>ames.com/2008/01/sie/internal/label"&gt;&lt;element uid="42834bfb-1ec1-4beb-bd64-eb83fb3cb3f3" value="" /&gt;&lt;/sisl&gt;</vt:lpwstr>
  </property>
  <property fmtid="{D5CDD505-2E9C-101B-9397-08002B2CF9AE}" pid="8" name="MSIP_Label_c968a81f-7ed4-4faa-9408-9652e001dd96_Enabled">
    <vt:lpwstr>true</vt:lpwstr>
  </property>
  <property fmtid="{D5CDD505-2E9C-101B-9397-08002B2CF9AE}" pid="9" name="MSIP_Label_c968a81f-7ed4-4faa-9408-9652e001dd96_SetDate">
    <vt:lpwstr>2022-06-22T01:27:43Z</vt:lpwstr>
  </property>
  <property fmtid="{D5CDD505-2E9C-101B-9397-08002B2CF9AE}" pid="10" name="MSIP_Label_c968a81f-7ed4-4faa-9408-9652e001dd96_Method">
    <vt:lpwstr>Standard</vt:lpwstr>
  </property>
  <property fmtid="{D5CDD505-2E9C-101B-9397-08002B2CF9AE}" pid="11" name="MSIP_Label_c968a81f-7ed4-4faa-9408-9652e001dd96_Name">
    <vt:lpwstr>Unrestricted</vt:lpwstr>
  </property>
  <property fmtid="{D5CDD505-2E9C-101B-9397-08002B2CF9AE}" pid="12" name="MSIP_Label_c968a81f-7ed4-4faa-9408-9652e001dd96_SiteId">
    <vt:lpwstr>b64da4ac-e800-4cfc-8931-e607f720a1b8</vt:lpwstr>
  </property>
  <property fmtid="{D5CDD505-2E9C-101B-9397-08002B2CF9AE}" pid="13" name="MSIP_Label_c968a81f-7ed4-4faa-9408-9652e001dd96_ActionId">
    <vt:lpwstr>d3ba34cf-34be-45ea-8ec8-0c55f294da7c</vt:lpwstr>
  </property>
  <property fmtid="{D5CDD505-2E9C-101B-9397-08002B2CF9AE}" pid="14" name="MSIP_Label_c968a81f-7ed4-4faa-9408-9652e001dd96_ContentBits">
    <vt:lpwstr>0</vt:lpwstr>
  </property>
</Properties>
</file>