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pplications,Worksheets, and Flyers\Commercial PY23\Worksheets\"/>
    </mc:Choice>
  </mc:AlternateContent>
  <xr:revisionPtr revIDLastSave="0" documentId="13_ncr:1_{208A5544-1EFE-446B-9DB5-67261CEE1248}" xr6:coauthVersionLast="47" xr6:coauthVersionMax="47" xr10:uidLastSave="{00000000-0000-0000-0000-000000000000}"/>
  <workbookProtection workbookAlgorithmName="SHA-512" workbookHashValue="wAQspBcqq9Of0AR2nGyyhspCgyUHVkoF3VIn0QS2KwH1MdjmR5PgY92cIyRXQ1wYKJ2FfCzOGuA5uPv3WACahA==" workbookSaltValue="Wl28e7XvK/o6AJyxATpqAQ==" workbookSpinCount="100000" lockStructure="1"/>
  <bookViews>
    <workbookView xWindow="28680" yWindow="-120" windowWidth="29040" windowHeight="15840" xr2:uid="{00000000-000D-0000-FFFF-FFFF00000000}"/>
  </bookViews>
  <sheets>
    <sheet name="Summary" sheetId="1" r:id="rId1"/>
    <sheet name="Electric Combination Oven" sheetId="2" r:id="rId2"/>
    <sheet name="Fryer" sheetId="3" r:id="rId3"/>
    <sheet name="Electric Convection Oven" sheetId="4" r:id="rId4"/>
    <sheet name="Dishwasher" sheetId="5" r:id="rId5"/>
    <sheet name="Electric Griddle" sheetId="6" r:id="rId6"/>
    <sheet name="Hot Food Holding Cabinet" sheetId="7" r:id="rId7"/>
    <sheet name="Ice Machine" sheetId="8" r:id="rId8"/>
    <sheet name="Refrigerator" sheetId="9" r:id="rId9"/>
    <sheet name="Freezer" sheetId="11" r:id="rId10"/>
    <sheet name="Steam Cooker" sheetId="12" r:id="rId11"/>
    <sheet name="Low-Flow Spray Nozzle" sheetId="13" r:id="rId12"/>
    <sheet name="Demand Controlled Ventilation" sheetId="14" r:id="rId13"/>
    <sheet name="Lookup Tables" sheetId="15" state="hidden" r:id="rId14"/>
    <sheet name="Effective Rates" sheetId="17" state="hidden" r:id="rId15"/>
  </sheets>
  <externalReferences>
    <externalReference r:id="rId16"/>
    <externalReference r:id="rId17"/>
    <externalReference r:id="rId18"/>
    <externalReference r:id="rId19"/>
  </externalReferences>
  <definedNames>
    <definedName name="County">'[1]Financial Review Total Project'!$F$18</definedName>
    <definedName name="DollarPerkW_Hawaii">'[1]Avoided Cost Table'!$K$3:$K$27</definedName>
    <definedName name="DollarPerkW_Maui">'[1]Avoided Cost Table'!$J$3:$J$27</definedName>
    <definedName name="DollarPerkW_Oahu">'[1]Avoided Cost Table'!$I$3:$I$27</definedName>
    <definedName name="DollarPerkWh_Hawaii">'[1]Avoided Cost Table'!$N$3:$N$27</definedName>
    <definedName name="DollarPerkWh_Maui">'[1]Avoided Cost Table'!$M$3:$M$27</definedName>
    <definedName name="DollarPerkWh_Oahu">'[1]Avoided Cost Table'!$L$3:$L$27</definedName>
    <definedName name="Half">[2]Input!$J$3:$J$4</definedName>
    <definedName name="Idle_Rqmt" localSheetId="14">'[3]Steam Cooker'!$L$7:$M$10</definedName>
    <definedName name="Idle_Rqmt">'Steam Cooker'!$J$7:$K$10</definedName>
    <definedName name="Island">'[1]Overview &amp; Inputs'!$I$4</definedName>
    <definedName name="IslandLosses">'[1]Financial Review Total Project'!$I$4:$J$8</definedName>
    <definedName name="Lookup_EffectiveRate">'Effective Rates'!$B$6:$F$55</definedName>
    <definedName name="Lookup_FacilityType">'[1]Lookup Tables'!$E$3:$E$13</definedName>
    <definedName name="Lookup_Island">'[1]Lookup Tables'!$B$19:$B$23</definedName>
    <definedName name="Lookup_MeasureDescription">'[1]Lookup Tables'!$B$3:$C$12</definedName>
    <definedName name="Lookup_MeasureType">'[1]Lookup Tables'!$B$3:$B$12</definedName>
    <definedName name="Lookup_ProjectType">'[1]Lookup Tables'!$B$15:$B$16</definedName>
    <definedName name="Lookup_RateDescription" localSheetId="14">'[1]Lookup Tables'!$B$26:$C$30</definedName>
    <definedName name="Lookup_RateDescription">'[3]Lookup Tables'!$A$2:$B$6</definedName>
    <definedName name="Lookup_RateSchedule">'[1]Lookup Tables'!$B$26:$B$30</definedName>
    <definedName name="MeasureLife">'[1]Overview &amp; Inputs'!$F$12</definedName>
    <definedName name="numberpans">[4]Input!$K$7:$K$8</definedName>
    <definedName name="Steam">[4]Input!$J$7:$J$8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2" l="1"/>
  <c r="H9" i="12"/>
  <c r="H10" i="12"/>
  <c r="M10" i="12" s="1"/>
  <c r="H11" i="12"/>
  <c r="H12" i="12"/>
  <c r="N12" i="12" s="1"/>
  <c r="M7" i="2"/>
  <c r="M6" i="2"/>
  <c r="K9" i="5"/>
  <c r="D24" i="14"/>
  <c r="O15" i="14"/>
  <c r="O16" i="14"/>
  <c r="O17" i="14"/>
  <c r="O18" i="14"/>
  <c r="O19" i="14"/>
  <c r="N16" i="14"/>
  <c r="C24" i="14" s="1"/>
  <c r="N17" i="14"/>
  <c r="N18" i="14"/>
  <c r="N19" i="14"/>
  <c r="N15" i="14"/>
  <c r="K7" i="13"/>
  <c r="K8" i="13"/>
  <c r="K9" i="13"/>
  <c r="K10" i="13"/>
  <c r="K6" i="13"/>
  <c r="N8" i="12"/>
  <c r="N9" i="12"/>
  <c r="N11" i="12"/>
  <c r="N7" i="12"/>
  <c r="N12" i="11"/>
  <c r="I12" i="11" s="1"/>
  <c r="M12" i="11"/>
  <c r="L12" i="11"/>
  <c r="N7" i="11"/>
  <c r="I7" i="11" s="1"/>
  <c r="M7" i="11"/>
  <c r="L7" i="11"/>
  <c r="K7" i="11"/>
  <c r="K8" i="11"/>
  <c r="M8" i="11" s="1"/>
  <c r="K9" i="11"/>
  <c r="N9" i="11" s="1"/>
  <c r="I9" i="11" s="1"/>
  <c r="K10" i="11"/>
  <c r="L10" i="11" s="1"/>
  <c r="K11" i="11"/>
  <c r="N11" i="11" s="1"/>
  <c r="I11" i="11" s="1"/>
  <c r="K12" i="11"/>
  <c r="O12" i="11"/>
  <c r="N12" i="9"/>
  <c r="I12" i="9" s="1"/>
  <c r="M12" i="9"/>
  <c r="N7" i="9"/>
  <c r="I7" i="9" s="1"/>
  <c r="M7" i="9"/>
  <c r="L12" i="9"/>
  <c r="L7" i="9"/>
  <c r="K8" i="9"/>
  <c r="N8" i="9" s="1"/>
  <c r="I8" i="9" s="1"/>
  <c r="K9" i="9"/>
  <c r="M9" i="9" s="1"/>
  <c r="K10" i="9"/>
  <c r="L10" i="9" s="1"/>
  <c r="K11" i="9"/>
  <c r="N11" i="9" s="1"/>
  <c r="I11" i="9" s="1"/>
  <c r="K12" i="9"/>
  <c r="K7" i="9"/>
  <c r="I9" i="7"/>
  <c r="I10" i="7"/>
  <c r="I11" i="7"/>
  <c r="M11" i="7" s="1"/>
  <c r="I6" i="7"/>
  <c r="N6" i="7" s="1"/>
  <c r="N9" i="7"/>
  <c r="N10" i="7"/>
  <c r="N11" i="7"/>
  <c r="M9" i="7"/>
  <c r="M10" i="7"/>
  <c r="O10" i="6"/>
  <c r="O11" i="6"/>
  <c r="O12" i="6"/>
  <c r="N10" i="6"/>
  <c r="N11" i="6"/>
  <c r="N12" i="6"/>
  <c r="O7" i="6"/>
  <c r="N7" i="6"/>
  <c r="E49" i="1"/>
  <c r="E48" i="1"/>
  <c r="T8" i="5"/>
  <c r="T9" i="5"/>
  <c r="T10" i="5"/>
  <c r="T11" i="5"/>
  <c r="T12" i="5"/>
  <c r="T7" i="5"/>
  <c r="M8" i="4"/>
  <c r="M9" i="4"/>
  <c r="M10" i="4"/>
  <c r="M11" i="4"/>
  <c r="M12" i="4"/>
  <c r="M7" i="4"/>
  <c r="L8" i="11" l="1"/>
  <c r="N8" i="11"/>
  <c r="I8" i="11" s="1"/>
  <c r="N10" i="12"/>
  <c r="D17" i="12" s="1"/>
  <c r="M12" i="12"/>
  <c r="M11" i="12"/>
  <c r="M7" i="12"/>
  <c r="M9" i="12"/>
  <c r="M8" i="12"/>
  <c r="M11" i="11"/>
  <c r="L11" i="11"/>
  <c r="N10" i="11"/>
  <c r="I10" i="11" s="1"/>
  <c r="M10" i="11"/>
  <c r="M9" i="11"/>
  <c r="L9" i="11"/>
  <c r="M11" i="9"/>
  <c r="L11" i="9"/>
  <c r="N10" i="9"/>
  <c r="I10" i="9" s="1"/>
  <c r="M10" i="9"/>
  <c r="L9" i="9"/>
  <c r="N9" i="9"/>
  <c r="I9" i="9" s="1"/>
  <c r="L8" i="9"/>
  <c r="M8" i="9"/>
  <c r="D17" i="9" s="1"/>
  <c r="M6" i="7"/>
  <c r="C17" i="12" l="1"/>
  <c r="D17" i="11"/>
  <c r="C17" i="11"/>
  <c r="C17" i="9"/>
  <c r="D17" i="4" l="1"/>
  <c r="H9" i="4" l="1"/>
  <c r="L9" i="4" s="1"/>
  <c r="H10" i="4"/>
  <c r="L10" i="4" s="1"/>
  <c r="H11" i="4"/>
  <c r="L11" i="4" s="1"/>
  <c r="H12" i="4"/>
  <c r="L12" i="4" s="1"/>
  <c r="H8" i="4"/>
  <c r="L8" i="4" s="1"/>
  <c r="N8" i="3"/>
  <c r="N9" i="3"/>
  <c r="N10" i="3"/>
  <c r="N11" i="3"/>
  <c r="N6" i="3"/>
  <c r="M8" i="3"/>
  <c r="M9" i="3"/>
  <c r="M10" i="3"/>
  <c r="M11" i="3"/>
  <c r="M6" i="3"/>
  <c r="C5" i="1"/>
  <c r="G5" i="1" s="1"/>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18" i="9" l="1"/>
  <c r="D25" i="14"/>
  <c r="D18" i="12"/>
  <c r="D18" i="11"/>
  <c r="D18" i="4"/>
  <c r="C17" i="4"/>
  <c r="F5" i="1"/>
  <c r="C25" i="14" l="1"/>
  <c r="E24" i="14" s="1"/>
  <c r="J24" i="14" s="1"/>
  <c r="C18" i="12"/>
  <c r="E17" i="12" s="1"/>
  <c r="G17" i="12" s="1"/>
  <c r="C18" i="11"/>
  <c r="E17" i="11" s="1"/>
  <c r="H17" i="11" s="1"/>
  <c r="C18" i="9"/>
  <c r="E17" i="9" s="1"/>
  <c r="H17" i="9" s="1"/>
  <c r="C18" i="4"/>
  <c r="E17" i="4" s="1"/>
  <c r="G17" i="4" s="1"/>
  <c r="N7" i="2"/>
  <c r="N8" i="2"/>
  <c r="N9" i="2"/>
  <c r="N10" i="2"/>
  <c r="N11" i="2"/>
  <c r="N6" i="2"/>
  <c r="M8" i="2"/>
  <c r="M9" i="2"/>
  <c r="M10" i="2"/>
  <c r="M11" i="2"/>
  <c r="E12" i="1"/>
  <c r="E11" i="1"/>
  <c r="E10" i="1"/>
  <c r="E9" i="1"/>
  <c r="G7" i="2"/>
  <c r="G8" i="2"/>
  <c r="G9" i="2"/>
  <c r="G10" i="2"/>
  <c r="G11" i="2"/>
  <c r="G6" i="2"/>
  <c r="C17" i="2" l="1"/>
  <c r="C18" i="2" s="1"/>
  <c r="D17" i="2"/>
  <c r="D18" i="2" s="1"/>
  <c r="F17" i="2" l="1"/>
  <c r="K15" i="14"/>
  <c r="K19" i="14"/>
  <c r="K18" i="14"/>
  <c r="K17" i="14"/>
  <c r="K16" i="14"/>
  <c r="K20" i="14" l="1"/>
  <c r="E205" i="1"/>
  <c r="I7" i="13"/>
  <c r="I8" i="13"/>
  <c r="I9" i="13"/>
  <c r="I10" i="13"/>
  <c r="I6" i="13"/>
  <c r="G216" i="1" l="1"/>
  <c r="K24" i="14"/>
  <c r="M10" i="13"/>
  <c r="L10" i="13"/>
  <c r="L9" i="13"/>
  <c r="M9" i="13"/>
  <c r="M8" i="13"/>
  <c r="L8" i="13"/>
  <c r="M7" i="13"/>
  <c r="L7" i="13"/>
  <c r="L6" i="13"/>
  <c r="M6" i="13"/>
  <c r="D15" i="13" s="1"/>
  <c r="D16" i="13" s="1"/>
  <c r="I11" i="13"/>
  <c r="C15" i="13" l="1"/>
  <c r="C16" i="13" s="1"/>
  <c r="E15" i="13" s="1"/>
  <c r="H15" i="13" s="1"/>
  <c r="G205" i="1"/>
  <c r="E190" i="1"/>
  <c r="I15" i="13" l="1"/>
  <c r="H13" i="12"/>
  <c r="G190" i="1" l="1"/>
  <c r="H17" i="12"/>
  <c r="I13" i="11"/>
  <c r="I13" i="9"/>
  <c r="H9" i="8"/>
  <c r="H10" i="8"/>
  <c r="H11" i="8"/>
  <c r="H12" i="8"/>
  <c r="H8" i="8"/>
  <c r="G169" i="1" l="1"/>
  <c r="I17" i="11"/>
  <c r="G148" i="1"/>
  <c r="I17" i="9"/>
  <c r="H13" i="8"/>
  <c r="G127" i="1" s="1"/>
  <c r="E113" i="1" l="1"/>
  <c r="E112" i="1"/>
  <c r="K11" i="7"/>
  <c r="K10" i="7"/>
  <c r="K9" i="7"/>
  <c r="K8" i="7"/>
  <c r="I8" i="7" s="1"/>
  <c r="K7" i="7"/>
  <c r="I7" i="7" s="1"/>
  <c r="K6" i="7"/>
  <c r="N8" i="7" l="1"/>
  <c r="M8" i="7"/>
  <c r="M7" i="7"/>
  <c r="C16" i="7" s="1"/>
  <c r="C17" i="7" s="1"/>
  <c r="N7" i="7"/>
  <c r="D16" i="7" s="1"/>
  <c r="D17" i="7" s="1"/>
  <c r="I12" i="7"/>
  <c r="E16" i="7" l="1"/>
  <c r="H16" i="7" s="1"/>
  <c r="G112" i="1"/>
  <c r="E100" i="1"/>
  <c r="H10" i="6"/>
  <c r="H11" i="6"/>
  <c r="H12" i="6"/>
  <c r="H7" i="6"/>
  <c r="K12" i="6"/>
  <c r="J12" i="6"/>
  <c r="L12" i="6" s="1"/>
  <c r="K11" i="6"/>
  <c r="J11" i="6"/>
  <c r="L11" i="6" s="1"/>
  <c r="K10" i="6"/>
  <c r="J10" i="6"/>
  <c r="L10" i="6" s="1"/>
  <c r="K9" i="6"/>
  <c r="J9" i="6"/>
  <c r="K8" i="6"/>
  <c r="J8" i="6"/>
  <c r="I16" i="7" l="1"/>
  <c r="L9" i="6"/>
  <c r="H9" i="6" s="1"/>
  <c r="L8" i="6"/>
  <c r="H8" i="6" s="1"/>
  <c r="O9" i="6" l="1"/>
  <c r="N9" i="6"/>
  <c r="N8" i="6"/>
  <c r="O8" i="6"/>
  <c r="D17" i="6" s="1"/>
  <c r="D18" i="6" s="1"/>
  <c r="H13" i="6"/>
  <c r="G100" i="1" s="1"/>
  <c r="C17" i="6" l="1"/>
  <c r="C18" i="6" s="1"/>
  <c r="E17" i="6" s="1"/>
  <c r="O8" i="5"/>
  <c r="P8" i="5" s="1"/>
  <c r="O9" i="5"/>
  <c r="P9" i="5" s="1"/>
  <c r="O10" i="5"/>
  <c r="P10" i="5" s="1"/>
  <c r="O11" i="5"/>
  <c r="P11" i="5" s="1"/>
  <c r="O12" i="5"/>
  <c r="P12" i="5" s="1"/>
  <c r="K8" i="5"/>
  <c r="L8" i="5" s="1"/>
  <c r="M8" i="5" s="1"/>
  <c r="N8" i="5" s="1"/>
  <c r="L9" i="5"/>
  <c r="M9" i="5" s="1"/>
  <c r="N9" i="5" s="1"/>
  <c r="K10" i="5"/>
  <c r="L10" i="5" s="1"/>
  <c r="M10" i="5" s="1"/>
  <c r="N10" i="5" s="1"/>
  <c r="K11" i="5"/>
  <c r="L11" i="5" s="1"/>
  <c r="M11" i="5" s="1"/>
  <c r="N11" i="5" s="1"/>
  <c r="K12" i="5"/>
  <c r="L12" i="5" s="1"/>
  <c r="M12" i="5" s="1"/>
  <c r="N12" i="5" s="1"/>
  <c r="O7" i="5"/>
  <c r="P7" i="5" s="1"/>
  <c r="K7" i="5"/>
  <c r="L7" i="5" s="1"/>
  <c r="M7" i="5" s="1"/>
  <c r="N7" i="5" s="1"/>
  <c r="G17" i="6" l="1"/>
  <c r="H17" i="6"/>
  <c r="Q12" i="5"/>
  <c r="R12" i="5" s="1"/>
  <c r="S12" i="5" s="1"/>
  <c r="I12" i="5" s="1"/>
  <c r="Q11" i="5"/>
  <c r="R11" i="5" s="1"/>
  <c r="S11" i="5" s="1"/>
  <c r="I11" i="5" s="1"/>
  <c r="Q7" i="5"/>
  <c r="Q10" i="5"/>
  <c r="R10" i="5" s="1"/>
  <c r="S10" i="5" s="1"/>
  <c r="I10" i="5" s="1"/>
  <c r="Q9" i="5"/>
  <c r="R9" i="5" s="1"/>
  <c r="S9" i="5" s="1"/>
  <c r="I9" i="5" s="1"/>
  <c r="Q8" i="5"/>
  <c r="V12" i="5" l="1"/>
  <c r="U12" i="5"/>
  <c r="U11" i="5"/>
  <c r="V11" i="5"/>
  <c r="U9" i="5"/>
  <c r="V9" i="5"/>
  <c r="U10" i="5"/>
  <c r="V10" i="5"/>
  <c r="R8" i="5"/>
  <c r="S8" i="5" s="1"/>
  <c r="I8" i="5" s="1"/>
  <c r="R7" i="5"/>
  <c r="S7" i="5" s="1"/>
  <c r="I7" i="5" s="1"/>
  <c r="U7" i="5" l="1"/>
  <c r="V7" i="5"/>
  <c r="V8" i="5"/>
  <c r="D17" i="5" s="1"/>
  <c r="D18" i="5" s="1"/>
  <c r="U8" i="5"/>
  <c r="C17" i="5" s="1"/>
  <c r="C18" i="5" s="1"/>
  <c r="I13" i="5"/>
  <c r="G63" i="1" s="1"/>
  <c r="E47" i="1"/>
  <c r="H7" i="4"/>
  <c r="L7" i="4" s="1"/>
  <c r="E17" i="5" l="1"/>
  <c r="H13" i="4"/>
  <c r="H17" i="5" l="1"/>
  <c r="I17" i="5"/>
  <c r="G47" i="1"/>
  <c r="H17" i="4"/>
  <c r="I7" i="3"/>
  <c r="I8" i="3"/>
  <c r="I9" i="3"/>
  <c r="I10" i="3"/>
  <c r="E30" i="1"/>
  <c r="E29" i="1"/>
  <c r="I11" i="3"/>
  <c r="M7" i="3" l="1"/>
  <c r="C16" i="3" s="1"/>
  <c r="C17" i="3" s="1"/>
  <c r="N7" i="3"/>
  <c r="D16" i="3" s="1"/>
  <c r="D17" i="3" s="1"/>
  <c r="I12" i="3"/>
  <c r="G29" i="1" l="1"/>
  <c r="E16" i="3"/>
  <c r="H16" i="3" s="1"/>
  <c r="G12" i="2"/>
  <c r="G9" i="1" l="1"/>
  <c r="G224" i="1" s="1"/>
  <c r="G17" i="2"/>
  <c r="I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Nandimandalam, Rohith Varma [US-XX]</author>
  </authors>
  <commentList>
    <comment ref="E9" authorId="0" shapeId="0" xr:uid="{00000000-0006-0000-0000-000001000000}">
      <text>
        <r>
          <rPr>
            <b/>
            <sz val="9"/>
            <color indexed="81"/>
            <rFont val="Tahoma"/>
            <family val="2"/>
          </rPr>
          <t>Click to fill out the corresponding tab.</t>
        </r>
      </text>
    </comment>
    <comment ref="E11" authorId="0" shapeId="0" xr:uid="{5820E2BC-A58D-4288-ABF4-CF76C3308B1D}">
      <text>
        <r>
          <rPr>
            <b/>
            <sz val="9"/>
            <color indexed="81"/>
            <rFont val="Tahoma"/>
            <family val="2"/>
          </rPr>
          <t>Click to fill out the corresponding tab.</t>
        </r>
      </text>
    </comment>
  </commentList>
</comments>
</file>

<file path=xl/sharedStrings.xml><?xml version="1.0" encoding="utf-8"?>
<sst xmlns="http://schemas.openxmlformats.org/spreadsheetml/2006/main" count="915" uniqueCount="407">
  <si>
    <t>Account Name:</t>
  </si>
  <si>
    <t>Project Name:</t>
  </si>
  <si>
    <t>Qualifying Equipment</t>
  </si>
  <si>
    <t>Qty</t>
  </si>
  <si>
    <t>Incentive per Qty</t>
  </si>
  <si>
    <t>Total Incentive</t>
  </si>
  <si>
    <t xml:space="preserve">Energy Star® Electric Combination Oven </t>
  </si>
  <si>
    <t>Energy Star® commercial electric combination oven requirements.</t>
  </si>
  <si>
    <t>Operation</t>
  </si>
  <si>
    <t>Idle Rate, kW</t>
  </si>
  <si>
    <t>Cooking-Energy Efficiency, %</t>
  </si>
  <si>
    <t>Incentive</t>
  </si>
  <si>
    <t>Steam Mode</t>
  </si>
  <si>
    <t>≤ 0.133 P + 0.6400</t>
  </si>
  <si>
    <r>
      <rPr>
        <b/>
        <u/>
        <sz val="9"/>
        <color theme="1"/>
        <rFont val="Calibri"/>
        <family val="2"/>
      </rPr>
      <t>&gt;</t>
    </r>
    <r>
      <rPr>
        <b/>
        <sz val="9"/>
        <color theme="1"/>
        <rFont val="Calibri"/>
        <family val="2"/>
      </rPr>
      <t xml:space="preserve"> 55</t>
    </r>
  </si>
  <si>
    <t>Convection Mode</t>
  </si>
  <si>
    <t>EQUIPMENT &amp; ELIGIBILITY REQUIREMENTS</t>
  </si>
  <si>
    <t>Manufacturer</t>
  </si>
  <si>
    <t>Model Number</t>
  </si>
  <si>
    <t>Serial Number</t>
  </si>
  <si>
    <t>Number of Pans</t>
  </si>
  <si>
    <t>Quantity</t>
  </si>
  <si>
    <t xml:space="preserve">  example:ConOven</t>
  </si>
  <si>
    <t>SFABSC111-A-44</t>
  </si>
  <si>
    <t xml:space="preserve">Steam </t>
  </si>
  <si>
    <t>Convection</t>
  </si>
  <si>
    <t>Total Incentive Requested:</t>
  </si>
  <si>
    <t>Back to Summary Page</t>
  </si>
  <si>
    <t>Standard</t>
  </si>
  <si>
    <t>Large Vat</t>
  </si>
  <si>
    <t>Energy Star® Standard Open Deep-Fat Electric Fryers</t>
  </si>
  <si>
    <t>Energy Star® commercial fryers must meet the requirements provide in table.</t>
  </si>
  <si>
    <t>Heavy-Load Cooking (HLC) Energy Efficiency</t>
  </si>
  <si>
    <t>&gt; = 83%</t>
  </si>
  <si>
    <t>Idle Energy Rate</t>
  </si>
  <si>
    <t>&lt; = 800 Watts</t>
  </si>
  <si>
    <t>Energy Star® Large Vat Open Deep-Fat Electric Fryers</t>
  </si>
  <si>
    <t>&gt; = 80%</t>
  </si>
  <si>
    <t>&lt; = 1,100 Watts</t>
  </si>
  <si>
    <r>
      <t>Eligible Products:</t>
    </r>
    <r>
      <rPr>
        <sz val="11"/>
        <color theme="1"/>
        <rFont val="Calibri"/>
        <family val="2"/>
        <scheme val="minor"/>
      </rPr>
      <t xml:space="preserve"> Electric open deep-fat fryers, including standard fry pot sizes (</t>
    </r>
    <r>
      <rPr>
        <u/>
        <sz val="11"/>
        <color theme="1"/>
        <rFont val="Calibri"/>
        <family val="2"/>
        <scheme val="minor"/>
      </rPr>
      <t>&gt;</t>
    </r>
    <r>
      <rPr>
        <sz val="11"/>
        <color theme="1"/>
        <rFont val="Calibri"/>
        <family val="2"/>
        <scheme val="minor"/>
      </rPr>
      <t xml:space="preserve"> 12" &amp; 18" wide) &amp; large vat fryers (18" to 24" wide). Countertop &amp; floor type models are eligible.</t>
    </r>
  </si>
  <si>
    <r>
      <t>Ineligible Products:</t>
    </r>
    <r>
      <rPr>
        <sz val="11"/>
        <color theme="1"/>
        <rFont val="Calibri"/>
        <family val="2"/>
        <scheme val="minor"/>
      </rPr>
      <t xml:space="preserve"> Closed vat fryers &amp; fryers with vats measuring &lt; 12" wide or &gt; 24' wide.</t>
    </r>
  </si>
  <si>
    <t>ENERGY STAR® Commercial Electric Combination Oven</t>
  </si>
  <si>
    <t>ENERGY STAR® Commercial Fryer</t>
  </si>
  <si>
    <t>Type</t>
  </si>
  <si>
    <t>HLC Energy Efficiency</t>
  </si>
  <si>
    <t>Idle Rate (Watts)</t>
  </si>
  <si>
    <t xml:space="preserve">  example: Fryer</t>
  </si>
  <si>
    <t>ENERGY STAR®Commercial Fryer</t>
  </si>
  <si>
    <t>Half-Size</t>
  </si>
  <si>
    <t>Full-Size</t>
  </si>
  <si>
    <t>ENERGY STAR® Commercial Electric Convection Oven</t>
  </si>
  <si>
    <t xml:space="preserve">Energy Star® Electric Convection Oven </t>
  </si>
  <si>
    <t>Energy Star® commercial electric convection oven requirements.</t>
  </si>
  <si>
    <t>Oven Capacity</t>
  </si>
  <si>
    <r>
      <rPr>
        <b/>
        <u/>
        <sz val="9"/>
        <color theme="1"/>
        <rFont val="Calibri"/>
        <family val="2"/>
        <scheme val="minor"/>
      </rPr>
      <t>&lt;</t>
    </r>
    <r>
      <rPr>
        <b/>
        <sz val="9"/>
        <color theme="1"/>
        <rFont val="Calibri"/>
        <family val="2"/>
        <scheme val="minor"/>
      </rPr>
      <t xml:space="preserve"> 1.00</t>
    </r>
  </si>
  <si>
    <r>
      <t>Eligible Products:</t>
    </r>
    <r>
      <rPr>
        <sz val="11"/>
        <color theme="1"/>
        <rFont val="Calibri"/>
        <family val="2"/>
        <scheme val="minor"/>
      </rPr>
      <t xml:space="preserve"> Food-grade commercial convection ovens as defined in the Energy Star Version 2.0 specification.  This includes half and full-size electric convection ovens.</t>
    </r>
  </si>
  <si>
    <r>
      <t>Ineligible Products:</t>
    </r>
    <r>
      <rPr>
        <sz val="11"/>
        <color theme="1"/>
        <rFont val="Calibri"/>
        <family val="2"/>
      </rPr>
      <t xml:space="preserve"> Ovens that are not food-grade and/or ovens designed for residential or laboratory applications.  The following oven types are ineligible: conventional or standard ovens; conveyor, slow cook-and-hold, deck, mini-rack, rack, range, rapid cook and rotisserie ovens.  Also, pan capacity other than listed 2/3-size combination ovens; &amp; certain hybrid ovens such as those incorporating microwave settings.</t>
    </r>
  </si>
  <si>
    <r>
      <t>Ineligible Products:</t>
    </r>
    <r>
      <rPr>
        <sz val="11"/>
        <color theme="1"/>
        <rFont val="Calibri"/>
        <family val="2"/>
        <scheme val="minor"/>
      </rPr>
      <t xml:space="preserve"> Ovens that are not food-grade and/or ovens designed for residential or laboratory applications.  The following oven types are ineligible: conventional or standard ovens; conveyor, slow cook-and-hold, deck, mini-rack, rack, range, rapid cook and rotisserie ovens.  Also, pan capacity other than listed 2/3-size combination ovens; &amp; certain hybrid ovens such as those incorporating microwave settings.</t>
    </r>
  </si>
  <si>
    <t>ENERGY STAR®Commercial Electric Convection Oven</t>
  </si>
  <si>
    <t>Half/Full Size</t>
  </si>
  <si>
    <t>Idle Rate (kW)</t>
  </si>
  <si>
    <t xml:space="preserve">  example: ConOven</t>
  </si>
  <si>
    <t>Half</t>
  </si>
  <si>
    <t>Size</t>
  </si>
  <si>
    <t>Full</t>
  </si>
  <si>
    <t>ENERGY STAR® Commercial Dishwasher</t>
  </si>
  <si>
    <t>Must be electric. Stationary rack and conveyor machines are eligible. Flight-type dishwashers and dishwashers intended for residential or laboratory applications are ineligible.</t>
  </si>
  <si>
    <t>Energy Star criteria below for reference</t>
  </si>
  <si>
    <t>Energy Star® Dishwashers</t>
  </si>
  <si>
    <t>Table 1: ENERGY STAR Requirements for Commercial Dishwashers</t>
  </si>
  <si>
    <t>Machine Type</t>
  </si>
  <si>
    <t>Low Temperature Efficiency Requirements</t>
  </si>
  <si>
    <t>Idle Energy Rate*</t>
  </si>
  <si>
    <t>Washing Energy</t>
  </si>
  <si>
    <t>Water Consumption**</t>
  </si>
  <si>
    <t>Under Counter</t>
  </si>
  <si>
    <t>&lt;= 0.25 kW</t>
  </si>
  <si>
    <t>&lt;= 0.15 kWh/rack</t>
  </si>
  <si>
    <t>&lt;= 1.19 GPR</t>
  </si>
  <si>
    <t>Stationary Single Tank Door</t>
  </si>
  <si>
    <t>&lt;= 0.30 kW</t>
  </si>
  <si>
    <t>&lt;= 1.18 GPR</t>
  </si>
  <si>
    <t>Single Tank Conveyor</t>
  </si>
  <si>
    <t>&lt;= 0.85 kW</t>
  </si>
  <si>
    <t>&lt;= 0.16 kWh/rack</t>
  </si>
  <si>
    <t>&lt;= 0.79 GPR</t>
  </si>
  <si>
    <t>&lt;= 1.00 kW</t>
  </si>
  <si>
    <t>&lt;= 0.22 kWh/rack</t>
  </si>
  <si>
    <t>&lt;= 0.54 GPR</t>
  </si>
  <si>
    <t>Table 2: ENERGY STAR Requirements for Commercial Dishwashers</t>
  </si>
  <si>
    <t>High Temperature Efficiency Requirements</t>
  </si>
  <si>
    <t>&lt;= 0.35 kWh/rack</t>
  </si>
  <si>
    <t>&lt;= 0.86 GPR</t>
  </si>
  <si>
    <t>&lt;= 0.55 kW</t>
  </si>
  <si>
    <t>&lt;= 0.89 GPR</t>
  </si>
  <si>
    <t>&lt;= 0.90 kW</t>
  </si>
  <si>
    <r>
      <t>&lt;= 0.55 + 0.05 x SF</t>
    </r>
    <r>
      <rPr>
        <vertAlign val="subscript"/>
        <sz val="11"/>
        <color theme="1"/>
        <rFont val="Calibri"/>
        <family val="2"/>
        <scheme val="minor"/>
      </rPr>
      <t>rack</t>
    </r>
    <r>
      <rPr>
        <sz val="11"/>
        <color theme="1"/>
        <rFont val="Calibri"/>
        <family val="2"/>
        <scheme val="minor"/>
      </rPr>
      <t xml:space="preserve"> †</t>
    </r>
  </si>
  <si>
    <t>&lt;= 0.58 GPR</t>
  </si>
  <si>
    <t>&lt;= 1.20 kW</t>
  </si>
  <si>
    <t>&lt;= 0.36 kWh/rack</t>
  </si>
  <si>
    <t>&lt;= 0.70 GPR</t>
  </si>
  <si>
    <t>&lt;= 1.85 kW</t>
  </si>
  <si>
    <t>* Idle results should be measured with the door closed and represent the total idle energy consumed by the machine including all tank heater(s) and controls. The most energy consumptive configuration in the product family shall be selected to test the idle energy rate. Booster heater (internal or external) energy consumption shall be measured and reported separately, if possible, per ASTM F1696-20 and ASTM F1920-20 Sections 10.8 and 10.9, respectively. However, if booster energy cannot be measured separately it will be included in the idle energy rate measurements</t>
  </si>
  <si>
    <t>** GPR = gallons per rack; GPSF = gallons per square foot of rack; GPH = gallons per hour; x = maximum conveyor speed (feet/min as verified through NSF 3 certification) x conveyor belt width (feet).</t>
  </si>
  <si>
    <t>† PPU Washing Energy is still in format kWh/rack when evaluated; SFrack is Square Feet of rack area, same as in PPU water consumption metric.</t>
  </si>
  <si>
    <t>ENERGY STAR®Commercial Dishwasher</t>
  </si>
  <si>
    <t>Temperature</t>
  </si>
  <si>
    <t>Idle Energy Rate (kW)</t>
  </si>
  <si>
    <t>Water Consumption (gal/rack)</t>
  </si>
  <si>
    <t>Idle Energy</t>
  </si>
  <si>
    <t>Convert to number</t>
  </si>
  <si>
    <t>Test idle energy</t>
  </si>
  <si>
    <t>Test Water consumption</t>
  </si>
  <si>
    <t>Both true</t>
  </si>
  <si>
    <t xml:space="preserve">  example: Hobart</t>
  </si>
  <si>
    <t>CLPR893NE</t>
  </si>
  <si>
    <t>Low</t>
  </si>
  <si>
    <t>ENERGY STAR® Commercial Electric Griddle</t>
  </si>
  <si>
    <t>ft</t>
  </si>
  <si>
    <t>Incentive per ft</t>
  </si>
  <si>
    <t>Energy Star® Electric Griddles</t>
  </si>
  <si>
    <t>Cooking Energy Efficiency</t>
  </si>
  <si>
    <r>
      <rPr>
        <b/>
        <u/>
        <sz val="11"/>
        <color theme="1"/>
        <rFont val="Calibri"/>
        <family val="2"/>
        <scheme val="minor"/>
      </rPr>
      <t>&gt;</t>
    </r>
    <r>
      <rPr>
        <b/>
        <sz val="11"/>
        <color theme="1"/>
        <rFont val="Calibri"/>
        <family val="2"/>
        <scheme val="minor"/>
      </rPr>
      <t xml:space="preserve"> 70%</t>
    </r>
  </si>
  <si>
    <t>Normalized Idle Energy Rate</t>
  </si>
  <si>
    <r>
      <rPr>
        <b/>
        <u/>
        <sz val="11"/>
        <color theme="1"/>
        <rFont val="Calibri"/>
        <family val="2"/>
        <scheme val="minor"/>
      </rPr>
      <t>&lt;</t>
    </r>
    <r>
      <rPr>
        <b/>
        <sz val="11"/>
        <color theme="1"/>
        <rFont val="Calibri"/>
        <family val="2"/>
        <scheme val="minor"/>
      </rPr>
      <t xml:space="preserve"> 320 watts per ft²</t>
    </r>
  </si>
  <si>
    <t>ENERGY STAR®Commercial Electric Griddle</t>
  </si>
  <si>
    <t>Cooking Efficiency</t>
  </si>
  <si>
    <t>Idle Rate (W/ft²)</t>
  </si>
  <si>
    <t>Size/Width (ft)</t>
  </si>
  <si>
    <t xml:space="preserve">  example: Griddle</t>
  </si>
  <si>
    <t>ENERGY STAR® Commercial Hot Food Holding Cabinet</t>
  </si>
  <si>
    <t>ENERGY STAR®Commercial Hot Food Holding Cabinet</t>
  </si>
  <si>
    <t>Energy Star® Hot Food Holding Cabinet</t>
  </si>
  <si>
    <t>Product Interior Volume (Cubic Feet)</t>
  </si>
  <si>
    <t>Product Idle Energy Consumption Rate (Watts)</t>
  </si>
  <si>
    <t>0 &lt; V &lt; 13</t>
  </si>
  <si>
    <r>
      <rPr>
        <b/>
        <u/>
        <sz val="8"/>
        <color theme="1"/>
        <rFont val="Calibri"/>
        <family val="2"/>
      </rPr>
      <t>&lt;</t>
    </r>
    <r>
      <rPr>
        <b/>
        <sz val="8"/>
        <color theme="1"/>
        <rFont val="Calibri"/>
        <family val="2"/>
      </rPr>
      <t xml:space="preserve"> 21.5 V</t>
    </r>
  </si>
  <si>
    <t>Full Size 
$800</t>
  </si>
  <si>
    <r>
      <t xml:space="preserve">13 </t>
    </r>
    <r>
      <rPr>
        <b/>
        <u/>
        <sz val="8"/>
        <color theme="1"/>
        <rFont val="Calibri"/>
        <family val="2"/>
      </rPr>
      <t>&lt;</t>
    </r>
    <r>
      <rPr>
        <b/>
        <sz val="8"/>
        <color theme="1"/>
        <rFont val="Calibri"/>
        <family val="2"/>
      </rPr>
      <t xml:space="preserve"> V &lt; 28</t>
    </r>
  </si>
  <si>
    <r>
      <rPr>
        <b/>
        <u/>
        <sz val="8"/>
        <color theme="1"/>
        <rFont val="Calibri"/>
        <family val="2"/>
      </rPr>
      <t>&lt;</t>
    </r>
    <r>
      <rPr>
        <b/>
        <sz val="8"/>
        <color theme="1"/>
        <rFont val="Calibri"/>
        <family val="2"/>
      </rPr>
      <t xml:space="preserve"> 2.0 V + 254.0</t>
    </r>
  </si>
  <si>
    <r>
      <t xml:space="preserve">28 </t>
    </r>
    <r>
      <rPr>
        <b/>
        <u/>
        <sz val="8"/>
        <color theme="1"/>
        <rFont val="Calibri"/>
        <family val="2"/>
      </rPr>
      <t>&lt;</t>
    </r>
    <r>
      <rPr>
        <b/>
        <sz val="8"/>
        <color theme="1"/>
        <rFont val="Calibri"/>
        <family val="2"/>
      </rPr>
      <t xml:space="preserve"> V</t>
    </r>
  </si>
  <si>
    <r>
      <rPr>
        <b/>
        <u/>
        <sz val="8"/>
        <color theme="1"/>
        <rFont val="Calibri"/>
        <family val="2"/>
      </rPr>
      <t>&lt;</t>
    </r>
    <r>
      <rPr>
        <b/>
        <sz val="8"/>
        <color theme="1"/>
        <rFont val="Calibri"/>
        <family val="2"/>
      </rPr>
      <t xml:space="preserve"> 3.8 V + 203.5</t>
    </r>
  </si>
  <si>
    <t>Note: V = Interior volume in cubic feet (ft3)</t>
  </si>
  <si>
    <r>
      <t>Eligible Products:</t>
    </r>
    <r>
      <rPr>
        <sz val="11"/>
        <color theme="1"/>
        <rFont val="Calibri"/>
        <family val="2"/>
      </rPr>
      <t xml:space="preserve"> Glass or solid door cabinets (fully enclosed compartment with one or more doors).</t>
    </r>
  </si>
  <si>
    <r>
      <t>Ineligible Products:</t>
    </r>
    <r>
      <rPr>
        <sz val="11"/>
        <color theme="1"/>
        <rFont val="Calibri"/>
        <family val="2"/>
      </rPr>
      <t xml:space="preserve"> Dual function equipment (e.g., cook-and-hold and proofing units), heated transparent merchandising cabinets, &amp; drawer warmers.</t>
    </r>
  </si>
  <si>
    <r>
      <t>Eligible Products:</t>
    </r>
    <r>
      <rPr>
        <sz val="11"/>
        <color theme="1"/>
        <rFont val="Calibri"/>
        <family val="2"/>
        <scheme val="minor"/>
      </rPr>
      <t xml:space="preserve"> Single &amp; double-sided electric models that are thermostatically controlled.</t>
    </r>
  </si>
  <si>
    <r>
      <t>Ineligible Products:</t>
    </r>
    <r>
      <rPr>
        <sz val="11"/>
        <color theme="1"/>
        <rFont val="Calibri"/>
        <family val="2"/>
        <scheme val="minor"/>
      </rPr>
      <t xml:space="preserve"> Manually controlled griddles &amp; fry-top ranges.</t>
    </r>
  </si>
  <si>
    <t xml:space="preserve">Size </t>
  </si>
  <si>
    <t>Volume (ft³)</t>
  </si>
  <si>
    <t>Idle Energy (Watts)</t>
  </si>
  <si>
    <t>Idle Energy Cutoff</t>
  </si>
  <si>
    <t xml:space="preserve">  example: HFHC</t>
  </si>
  <si>
    <t>Energy Star® commercial hot food holding cabinets must meet idle energy rate requirements provided in table.</t>
  </si>
  <si>
    <t>Energy Star® commercial griddles must meet the requirements provided in table</t>
  </si>
  <si>
    <t>Energy Star® commercial fryers must meet the requirements provided in table.</t>
  </si>
  <si>
    <t>ENERGY STAR® Commercial Ice Machine</t>
  </si>
  <si>
    <t xml:space="preserve">Energy Star® Commercial Ice Machine </t>
  </si>
  <si>
    <t>Energy Star® commercial ice machine must meet the requirements provided in table.</t>
  </si>
  <si>
    <r>
      <t>Ice-Making Head (IMH):</t>
    </r>
    <r>
      <rPr>
        <sz val="9"/>
        <color theme="1"/>
        <rFont val="Calibri"/>
        <family val="2"/>
        <scheme val="minor"/>
      </rPr>
      <t xml:space="preserve"> A model with the ice-making mechanism and the condensing unit in a single package, but with a separate ice storage bin.</t>
    </r>
  </si>
  <si>
    <r>
      <t>Remote Condensing Unit (RCU):</t>
    </r>
    <r>
      <rPr>
        <sz val="9"/>
        <color theme="1"/>
        <rFont val="Calibri"/>
        <family val="2"/>
        <scheme val="minor"/>
      </rPr>
      <t xml:space="preserve"> A model in which the ice-making mechanism and condenser or condensing unit are in separate sections.  This includes ice makers with and without remote compressor.</t>
    </r>
  </si>
  <si>
    <r>
      <t>Self-Contained Unit (SCU):</t>
    </r>
    <r>
      <rPr>
        <sz val="9"/>
        <color theme="1"/>
        <rFont val="Calibri"/>
        <family val="2"/>
        <scheme val="minor"/>
      </rPr>
      <t xml:space="preserve"> A model in which the ice-making mechanism and storage compartment are in an integral cabinet.</t>
    </r>
  </si>
  <si>
    <t>Ice Harvest Rate (lbs./day)</t>
  </si>
  <si>
    <t>Incentive Amount</t>
  </si>
  <si>
    <t>301 - 500</t>
  </si>
  <si>
    <t>501 - 1,000</t>
  </si>
  <si>
    <t>1,001 - 1,500</t>
  </si>
  <si>
    <t>&gt; 1,500</t>
  </si>
  <si>
    <r>
      <t>Eligible Products:</t>
    </r>
    <r>
      <rPr>
        <sz val="11"/>
        <color theme="1"/>
        <rFont val="Calibri"/>
        <family val="2"/>
        <scheme val="minor"/>
      </rPr>
      <t xml:space="preserve"> Air-cooled batch-type and continuous-type (i.e., flake and nugget) ice makers.  Designs include ice-making head (IMH), self-contained (SCU), and remote condensing (RCU) units.  Air-cooled RCU units designed for connection to remote rack compressors that are alternately sold with a dedicated remote condensing unit are also eligible.</t>
    </r>
  </si>
  <si>
    <r>
      <t>Ineligible Products:</t>
    </r>
    <r>
      <rPr>
        <sz val="11"/>
        <color theme="1"/>
        <rFont val="Calibri"/>
        <family val="2"/>
        <scheme val="minor"/>
      </rPr>
      <t xml:space="preserve"> Water-cooled ice makers; ice and water dispensing systems; air-cooled RCU units are designed only for connection to remote rack compressors.</t>
    </r>
  </si>
  <si>
    <t>ENERGY STAR®Commercial Ice Machine</t>
  </si>
  <si>
    <t>Ice Type</t>
  </si>
  <si>
    <t xml:space="preserve">  SuperFreeze</t>
  </si>
  <si>
    <t>RCU</t>
  </si>
  <si>
    <t>Flake</t>
  </si>
  <si>
    <t>IMH</t>
  </si>
  <si>
    <t>Nugget</t>
  </si>
  <si>
    <t>SCU</t>
  </si>
  <si>
    <t>ENERGY STAR® Commercial Refrigerator</t>
  </si>
  <si>
    <t>Incentive Amounts</t>
  </si>
  <si>
    <t>Solid Door Cabinets</t>
  </si>
  <si>
    <t>Glass Door Cabinets</t>
  </si>
  <si>
    <t>0 &lt; V &lt; 15</t>
  </si>
  <si>
    <r>
      <t xml:space="preserve">15 </t>
    </r>
    <r>
      <rPr>
        <b/>
        <u/>
        <sz val="9"/>
        <color theme="1"/>
        <rFont val="Calibri"/>
        <family val="2"/>
      </rPr>
      <t>≤</t>
    </r>
    <r>
      <rPr>
        <b/>
        <sz val="9"/>
        <color theme="1"/>
        <rFont val="Calibri"/>
        <family val="2"/>
        <scheme val="minor"/>
      </rPr>
      <t xml:space="preserve"> V &lt; 30</t>
    </r>
  </si>
  <si>
    <t>15 ≤ V &lt; 30</t>
  </si>
  <si>
    <r>
      <t xml:space="preserve">30 </t>
    </r>
    <r>
      <rPr>
        <b/>
        <u/>
        <sz val="9"/>
        <color theme="1"/>
        <rFont val="Calibri"/>
        <family val="2"/>
      </rPr>
      <t>≤</t>
    </r>
    <r>
      <rPr>
        <b/>
        <sz val="9"/>
        <color theme="1"/>
        <rFont val="Calibri"/>
        <family val="2"/>
        <scheme val="minor"/>
      </rPr>
      <t xml:space="preserve"> V &lt; 50</t>
    </r>
  </si>
  <si>
    <t>30 ≤ V &lt; 50</t>
  </si>
  <si>
    <r>
      <t xml:space="preserve">50 </t>
    </r>
    <r>
      <rPr>
        <b/>
        <u/>
        <sz val="9"/>
        <color theme="1"/>
        <rFont val="Calibri"/>
        <family val="2"/>
      </rPr>
      <t>≤</t>
    </r>
    <r>
      <rPr>
        <b/>
        <sz val="9"/>
        <color theme="1"/>
        <rFont val="Calibri"/>
        <family val="2"/>
        <scheme val="minor"/>
      </rPr>
      <t xml:space="preserve"> V</t>
    </r>
  </si>
  <si>
    <t>50 ≤ V</t>
  </si>
  <si>
    <r>
      <t>Eligible Products:</t>
    </r>
    <r>
      <rPr>
        <sz val="11"/>
        <color theme="1"/>
        <rFont val="Calibri"/>
        <family val="2"/>
        <scheme val="minor"/>
      </rPr>
      <t xml:space="preserve"> Solid glass, and mixed solid/glass door refrigerator &amp; freezers.</t>
    </r>
  </si>
  <si>
    <r>
      <t>Ineligible Products:</t>
    </r>
    <r>
      <rPr>
        <sz val="11"/>
        <color theme="1"/>
        <rFont val="Calibri"/>
        <family val="2"/>
        <scheme val="minor"/>
      </rPr>
      <t xml:space="preserve"> Prep tables or deli cases; open air units; laboratory-grade equipment; &amp; refrigerator/freezer combination units.</t>
    </r>
  </si>
  <si>
    <t>ENERGY STAR®Commercial Refrigerator</t>
  </si>
  <si>
    <t>Orientation</t>
  </si>
  <si>
    <t>Solid or Glass Door</t>
  </si>
  <si>
    <t>Vertical</t>
  </si>
  <si>
    <t>Horizontal</t>
  </si>
  <si>
    <t xml:space="preserve">  example: Super Freeze</t>
  </si>
  <si>
    <t>ENERGY STAR® Commercial Freezer</t>
  </si>
  <si>
    <r>
      <t>Ineligible Products:</t>
    </r>
    <r>
      <rPr>
        <sz val="11"/>
        <color theme="1"/>
        <rFont val="Calibri"/>
        <family val="2"/>
        <scheme val="minor"/>
      </rPr>
      <t xml:space="preserve"> Drawer cabinets, prep tables or deli cases; open air units; laboratory-grade equipment; &amp; refrigerator/freezer combination units.</t>
    </r>
  </si>
  <si>
    <t>ENERGY STAR®Commercial Freezer</t>
  </si>
  <si>
    <t>ENERGY STAR® Commercial Electric Steam Cooker</t>
  </si>
  <si>
    <t>ENERGY STAR®Commercial Electric Steam Cooker</t>
  </si>
  <si>
    <t>Energy Star® Electric Steam Cookers</t>
  </si>
  <si>
    <t>Pan Capacity</t>
  </si>
  <si>
    <t>3-pan</t>
  </si>
  <si>
    <t>4-pan</t>
  </si>
  <si>
    <t>5-pan</t>
  </si>
  <si>
    <t>6-pan or larger</t>
  </si>
  <si>
    <r>
      <t>Eligible Products:</t>
    </r>
    <r>
      <rPr>
        <sz val="11"/>
        <color theme="1"/>
        <rFont val="Calibri"/>
        <family val="2"/>
        <scheme val="minor"/>
      </rPr>
      <t xml:space="preserve"> Electric steam cooker models may include countertop models, wall-mounted models &amp; floor mounted models &amp; floor mounted on a stand, pedestal or cabinet-style base.</t>
    </r>
  </si>
  <si>
    <r>
      <t>Ineligible Products:</t>
    </r>
    <r>
      <rPr>
        <sz val="11"/>
        <color theme="1"/>
        <rFont val="Calibri"/>
        <family val="2"/>
        <scheme val="minor"/>
      </rPr>
      <t xml:space="preserve"> Hybrid/combination products &amp; pressure steamers.</t>
    </r>
  </si>
  <si>
    <t xml:space="preserve">  example: Steamer</t>
  </si>
  <si>
    <t>Energy Star® commercial steam cookers must meet the requirements provided in table.</t>
  </si>
  <si>
    <t>• Low-flow spray nozzle must meet the maximum permitted flow rates (gpm) in table below.</t>
  </si>
  <si>
    <t>Product Class by Spray Force</t>
  </si>
  <si>
    <t>Maximum Flow Rate (gpm)</t>
  </si>
  <si>
    <t>&lt;= 5.0 ozf</t>
  </si>
  <si>
    <t>&gt; 5.0 ozf &amp; &lt;= 8.0 ozf</t>
  </si>
  <si>
    <t>&gt; 8.0 ozf</t>
  </si>
  <si>
    <t>Incentive Calculation:</t>
  </si>
  <si>
    <t>Water Heating Type</t>
  </si>
  <si>
    <t>Spray Force</t>
  </si>
  <si>
    <t>Max Flow Rate</t>
  </si>
  <si>
    <t>Incentive Subtotal</t>
  </si>
  <si>
    <t>Electric Resistance</t>
  </si>
  <si>
    <t>Heat Pump</t>
  </si>
  <si>
    <t>Low-Flow Spray Nozzle</t>
  </si>
  <si>
    <t>Demand Controlled Ventilation (DCV)</t>
  </si>
  <si>
    <t>• The control system must be used in conjunction with variable speed fan motor controls.</t>
  </si>
  <si>
    <t>• All motors must meet NEMA Premium Efficiency standards and be UL® Approved.</t>
  </si>
  <si>
    <t>• Temperature and optical sensors must have the ability to sense and ramp up or down the ventilation rate based on the presence of temperature, smoke or steam from cooking activity.</t>
  </si>
  <si>
    <t>• Temperature and Infrared cooking sensors must have the ability to measure temperature at the cooking surface to ramp ventilation up or down based on when cooking starts.</t>
  </si>
  <si>
    <t>Demand Controlled Ventilation</t>
  </si>
  <si>
    <t>EQUIPMENT INFORMATION</t>
  </si>
  <si>
    <t>Kitchen Exhaust Hood:</t>
  </si>
  <si>
    <t>Fan HP</t>
  </si>
  <si>
    <t>Service Factor</t>
  </si>
  <si>
    <t>Design Exhaust CFM</t>
  </si>
  <si>
    <t>Hood Age</t>
  </si>
  <si>
    <r>
      <t xml:space="preserve">Type of Hood
</t>
    </r>
    <r>
      <rPr>
        <b/>
        <sz val="8"/>
        <rFont val="Calibri"/>
        <family val="2"/>
        <scheme val="minor"/>
      </rPr>
      <t>(Wall Canopy, Single/Double)</t>
    </r>
  </si>
  <si>
    <t>Length</t>
  </si>
  <si>
    <t>Width</t>
  </si>
  <si>
    <t>Height</t>
  </si>
  <si>
    <t>Number of Fans</t>
  </si>
  <si>
    <t>HP</t>
  </si>
  <si>
    <t>Incentive per HP</t>
  </si>
  <si>
    <r>
      <t>Eligible Products:</t>
    </r>
    <r>
      <rPr>
        <sz val="11"/>
        <color theme="1"/>
        <rFont val="Calibri"/>
        <family val="2"/>
      </rPr>
      <t xml:space="preserve"> Food-grade commercial combination ovens as defined in the Energy Star Version 3.0 specification.</t>
    </r>
  </si>
  <si>
    <t>5-40 Pan Capacity</t>
  </si>
  <si>
    <t>3-5 Pan Capacity</t>
  </si>
  <si>
    <t>≤ 0.60P</t>
  </si>
  <si>
    <t>≤ 0.05 P + 0.55</t>
  </si>
  <si>
    <r>
      <rPr>
        <b/>
        <u/>
        <sz val="9"/>
        <color theme="1"/>
        <rFont val="Calibri"/>
        <family val="2"/>
      </rPr>
      <t>&gt;</t>
    </r>
    <r>
      <rPr>
        <b/>
        <sz val="9"/>
        <color theme="1"/>
        <rFont val="Calibri"/>
        <family val="2"/>
      </rPr>
      <t xml:space="preserve"> 51</t>
    </r>
  </si>
  <si>
    <r>
      <rPr>
        <b/>
        <u/>
        <sz val="9"/>
        <color theme="1"/>
        <rFont val="Calibri"/>
        <family val="2"/>
      </rPr>
      <t>&gt;</t>
    </r>
    <r>
      <rPr>
        <b/>
        <sz val="9"/>
        <color theme="1"/>
        <rFont val="Calibri"/>
        <family val="2"/>
      </rPr>
      <t xml:space="preserve"> 70</t>
    </r>
  </si>
  <si>
    <r>
      <rPr>
        <b/>
        <u/>
        <sz val="9"/>
        <color theme="1"/>
        <rFont val="Calibri"/>
        <family val="2"/>
      </rPr>
      <t>&gt;</t>
    </r>
    <r>
      <rPr>
        <b/>
        <sz val="9"/>
        <color theme="1"/>
        <rFont val="Calibri"/>
        <family val="2"/>
      </rPr>
      <t xml:space="preserve"> 78</t>
    </r>
  </si>
  <si>
    <t>≤ 0.083 P + 0.35</t>
  </si>
  <si>
    <t>29-40 Pans</t>
  </si>
  <si>
    <t>15-28 Pans</t>
  </si>
  <si>
    <t>9 Pans</t>
  </si>
  <si>
    <t>3-4 Pans</t>
  </si>
  <si>
    <t>Peak Demand Savings</t>
  </si>
  <si>
    <t>Annual Energy Savings</t>
  </si>
  <si>
    <t>kWh</t>
  </si>
  <si>
    <t>Project Cost</t>
  </si>
  <si>
    <t>Rate Schedule:</t>
  </si>
  <si>
    <t>Island:</t>
  </si>
  <si>
    <t>Effective Rate:</t>
  </si>
  <si>
    <t>Rate Schedule</t>
  </si>
  <si>
    <t>Rate Schedule Description</t>
  </si>
  <si>
    <t>Island</t>
  </si>
  <si>
    <t>Schedule G</t>
  </si>
  <si>
    <t>General Non-Demand</t>
  </si>
  <si>
    <t>O‘ahu</t>
  </si>
  <si>
    <t>Schedule J</t>
  </si>
  <si>
    <t>General Demand</t>
  </si>
  <si>
    <t>Hawai‘i</t>
  </si>
  <si>
    <t>Schedule DS</t>
  </si>
  <si>
    <t>Large Power Directly Served</t>
  </si>
  <si>
    <t>Maui</t>
  </si>
  <si>
    <t>Schedule P</t>
  </si>
  <si>
    <t>Large Power</t>
  </si>
  <si>
    <t>Lāna‘i</t>
  </si>
  <si>
    <t>Schedule F</t>
  </si>
  <si>
    <t>Public Street Lighting</t>
  </si>
  <si>
    <t>Moloka‘i</t>
  </si>
  <si>
    <t>Moloka‘i-Schedule F - Public Street Lighting-kWh</t>
  </si>
  <si>
    <t>kW</t>
  </si>
  <si>
    <t>Moloka‘i-Schedule F - Public Street Lighting-kW</t>
  </si>
  <si>
    <t>Moloka‘i-Schedule P - Large Power-kWh</t>
  </si>
  <si>
    <t>Moloka‘i-Schedule P - Large Power-kW</t>
  </si>
  <si>
    <t>Moloka‘i-Schedule DS - Large Power Directly Served-kWh</t>
  </si>
  <si>
    <t>Moloka‘i-Schedule DS - Large Power Directly Served-kW</t>
  </si>
  <si>
    <t>Moloka‘i-Schedule J - General Demand-kWh</t>
  </si>
  <si>
    <t>Moloka‘i-Schedule J - General Demand-kW</t>
  </si>
  <si>
    <t>Moloka‘i-Schedule G - General Non-Demand-kWh</t>
  </si>
  <si>
    <t>Moloka‘i-Schedule G - General Non-Demand-kW</t>
  </si>
  <si>
    <t>Lāna‘i-Schedule F - Public Street Lighting-kWh</t>
  </si>
  <si>
    <t>Lāna‘i-Schedule F - Public Street Lighting-kW</t>
  </si>
  <si>
    <t>Lāna‘i-Schedule P - Large Power-kWh</t>
  </si>
  <si>
    <t>Lāna‘i-Schedule P - Large Power-kW</t>
  </si>
  <si>
    <t>Lāna‘i-Schedule DS - Large Power Directly Served-kWh</t>
  </si>
  <si>
    <t>Lāna‘i-Schedule DS - Large Power Directly Served-kW</t>
  </si>
  <si>
    <t>Lāna‘i-Schedule J - General Demand-kWh</t>
  </si>
  <si>
    <t>Lāna‘i-Schedule J - General Demand-kW</t>
  </si>
  <si>
    <t>Lāna‘i-Schedule G - General Non-Demand-kWh</t>
  </si>
  <si>
    <t>Lāna‘i-Schedule G - General Non-Demand-kW</t>
  </si>
  <si>
    <t>Maui-Schedule F - Public Street Lighting-kWh</t>
  </si>
  <si>
    <t>Maui-Schedule F - Public Street Lighting-kW</t>
  </si>
  <si>
    <t>Maui-Schedule P - Large Power-kWh</t>
  </si>
  <si>
    <t>Maui-Schedule P - Large Power-kW</t>
  </si>
  <si>
    <t>Maui-Schedule DS - Large Power Directly Served-kWh</t>
  </si>
  <si>
    <t>Maui-Schedule DS - Large Power Directly Served-kW</t>
  </si>
  <si>
    <t>Maui-Schedule J - General Demand-kWh</t>
  </si>
  <si>
    <t>Maui-Schedule J - General Demand-kW</t>
  </si>
  <si>
    <t>Maui-Schedule G - General Non-Demand-kWh</t>
  </si>
  <si>
    <t>Maui-Schedule G - General Non-Demand-kW</t>
  </si>
  <si>
    <t>Hawai‘i-Schedule F - Public Street Lighting-kWh</t>
  </si>
  <si>
    <t>Hawai‘i-Schedule F - Public Street Lighting-kW</t>
  </si>
  <si>
    <t>Hawai‘i-Schedule P - Large Power-kWh</t>
  </si>
  <si>
    <t>Hawai‘i-Schedule P - Large Power-kW</t>
  </si>
  <si>
    <t>Hawai‘i-Schedule DS - Large Power Directly Served-kWh</t>
  </si>
  <si>
    <t>Hawai‘i-Schedule DS - Large Power Directly Served-kW</t>
  </si>
  <si>
    <t>Hawai‘i-Schedule J - General Demand-kWh</t>
  </si>
  <si>
    <t>Hawai‘i-Schedule J - General Demand-kW</t>
  </si>
  <si>
    <t>Hawai‘i-Schedule G - General Non-Demand-kWh</t>
  </si>
  <si>
    <t>Hawai‘i-Schedule G - General Non-Demand-kW</t>
  </si>
  <si>
    <t>Schedule F - Public Street Lighting</t>
  </si>
  <si>
    <t>O‘ahu-Schedule F - Public Street Lighting-kWh</t>
  </si>
  <si>
    <t>O‘ahu-Schedule F - Public Street Lighting-kW</t>
  </si>
  <si>
    <t>Schedule P - Large Power</t>
  </si>
  <si>
    <t>O‘ahu-Schedule P - Large Power-kWh</t>
  </si>
  <si>
    <t>O‘ahu-Schedule P - Large Power-kW</t>
  </si>
  <si>
    <t>Schedule DS - Large Power Directly Served</t>
  </si>
  <si>
    <t>O‘ahu-Schedule DS - Large Power Directly Served-kWh</t>
  </si>
  <si>
    <t>O‘ahu-Schedule DS - Large Power Directly Served-kW</t>
  </si>
  <si>
    <t>Schedule J - General Demand</t>
  </si>
  <si>
    <t>O‘ahu-Schedule J - General Demand-kWh</t>
  </si>
  <si>
    <t>O‘ahu-Schedule J - General Demand-kW</t>
  </si>
  <si>
    <t>Schedule G - General Non-Demand</t>
  </si>
  <si>
    <t>O‘ahu-Schedule G - General Non-Demand-kWh</t>
  </si>
  <si>
    <t>O‘ahu-Schedule G - General Non-Demand-kW</t>
  </si>
  <si>
    <t>Effective Rate</t>
  </si>
  <si>
    <t>Charge</t>
  </si>
  <si>
    <t>VLOOKUP</t>
  </si>
  <si>
    <r>
      <rPr>
        <b/>
        <i/>
        <sz val="10"/>
        <color rgb="FFFF0000"/>
        <rFont val="Calibri"/>
        <family val="2"/>
      </rPr>
      <t>Source:</t>
    </r>
    <r>
      <rPr>
        <i/>
        <sz val="10"/>
        <color rgb="FFFF0000"/>
        <rFont val="Calibri"/>
        <family val="2"/>
      </rPr>
      <t xml:space="preserve">
Average effective rates between 2020-07-01 and 2021-07-01.</t>
    </r>
  </si>
  <si>
    <t>Simple payback</t>
  </si>
  <si>
    <t>Measure Name</t>
  </si>
  <si>
    <t>&lt; 5 Pans</t>
  </si>
  <si>
    <t>≥ 5 Pans</t>
  </si>
  <si>
    <t>Cooking Energy Efficiency, %</t>
  </si>
  <si>
    <t>≥ 71</t>
  </si>
  <si>
    <t>≥ 76</t>
  </si>
  <si>
    <r>
      <rPr>
        <b/>
        <u/>
        <sz val="9"/>
        <color theme="1"/>
        <rFont val="Calibri"/>
        <family val="2"/>
        <scheme val="minor"/>
      </rPr>
      <t>&lt;</t>
    </r>
    <r>
      <rPr>
        <b/>
        <sz val="9"/>
        <color theme="1"/>
        <rFont val="Calibri"/>
        <family val="2"/>
        <scheme val="minor"/>
      </rPr>
      <t xml:space="preserve"> 1.40</t>
    </r>
  </si>
  <si>
    <t>Full-Size: &lt; 5 Pans</t>
  </si>
  <si>
    <t>Full-Size: ≥ 5 Pans</t>
  </si>
  <si>
    <t>Full: &lt;5 Pans</t>
  </si>
  <si>
    <t>Full: ≥5 Pans</t>
  </si>
  <si>
    <t>Equipment Size</t>
  </si>
  <si>
    <t>Low Temperature Under Counter</t>
  </si>
  <si>
    <t>Low Temperature Stationary Single Tank Door</t>
  </si>
  <si>
    <t>Low Temperature Single Tank Conveyor</t>
  </si>
  <si>
    <t>Low Temperature Multi Tank Conveyor</t>
  </si>
  <si>
    <t>High Temperature Under Counter</t>
  </si>
  <si>
    <t>High Temperature Stationary Single Tank Door</t>
  </si>
  <si>
    <t>High Temperature Single Tank Conveyor</t>
  </si>
  <si>
    <t>High Temperature Multi Tank Conveyor</t>
  </si>
  <si>
    <t>High Temperature Pot Pan and Utensil</t>
  </si>
  <si>
    <t>Pot Pan and Utensil</t>
  </si>
  <si>
    <t>Multi Tank Conveyor</t>
  </si>
  <si>
    <t>$200 (per ft)</t>
  </si>
  <si>
    <t>Electric Griddle</t>
  </si>
  <si>
    <t>Half Size 
$200</t>
  </si>
  <si>
    <t>Annual Cost Savings from measure</t>
  </si>
  <si>
    <t>50 - 300</t>
  </si>
  <si>
    <t>Solid-Door</t>
  </si>
  <si>
    <t>Glass-Door</t>
  </si>
  <si>
    <t>Vertical Solid-Door, 0 &lt; V &lt; 15</t>
  </si>
  <si>
    <t>Vertical Solid-Door, 15 ≤ V &lt; 30</t>
  </si>
  <si>
    <t>Vertical Solid-Door, 30 ≤ V &lt; 50</t>
  </si>
  <si>
    <t>Vertical Glass-Door, 0 &lt; V &lt; 15</t>
  </si>
  <si>
    <t>Vertical Glass-Door, 15 ≤ V &lt; 30</t>
  </si>
  <si>
    <t>Vertical Glass-Door, 30 ≤ V &lt; 50</t>
  </si>
  <si>
    <t>Horizontal Solid-Door, 0 &lt; V ≤  15</t>
  </si>
  <si>
    <t>Horizontal Solid-Door, 15 ≤ V &lt; 30</t>
  </si>
  <si>
    <t>Horizontal Solid-Door, 30 ≤ V &lt; 50</t>
  </si>
  <si>
    <t>Horizontal Glass-Door, 0 &lt; V ≤ 15</t>
  </si>
  <si>
    <t>Horizontal Glass-Door, 15 ≤ V &lt; 30</t>
  </si>
  <si>
    <t>Horizontal Glass-Door, 30 ≤ V &lt; 50</t>
  </si>
  <si>
    <t>Horizontal Glass-Door, 50 ≤ V</t>
  </si>
  <si>
    <t>Vertical Glass-Door, 50 ≤ V</t>
  </si>
  <si>
    <t>Vertical Solid-Door, 50 ≤ V</t>
  </si>
  <si>
    <t>Horizontal Solid-Door, 50 ≤ V</t>
  </si>
  <si>
    <t>Electric Steam Cooker</t>
  </si>
  <si>
    <t>Facility Type</t>
  </si>
  <si>
    <t>Dormitories</t>
  </si>
  <si>
    <t>K-12 Schools</t>
  </si>
  <si>
    <t>Electric Resistance, Restaurants/ Institutions</t>
  </si>
  <si>
    <t>Electric Resistance, Dormitories</t>
  </si>
  <si>
    <t>Electric Resistance, K-12 Schools</t>
  </si>
  <si>
    <t>Heat Pump, Restaurants/ Institutions</t>
  </si>
  <si>
    <t>Heat Pump, Dormitories</t>
  </si>
  <si>
    <t>Heat Pump, K-12 Schools</t>
  </si>
  <si>
    <t>Restaurants/ Institutions</t>
  </si>
  <si>
    <t>Demand-Controlled Kitchen Ventilation (DCKV)</t>
  </si>
  <si>
    <t>Simple payback with HE Incentive</t>
  </si>
  <si>
    <t>Demand Savings</t>
  </si>
  <si>
    <t>5-14 Pans</t>
  </si>
  <si>
    <r>
      <rPr>
        <b/>
        <sz val="14"/>
        <rFont val="Calibri"/>
        <family val="2"/>
      </rPr>
      <t xml:space="preserve">Commercial Kitchen Equipment Worksheet
</t>
    </r>
    <r>
      <rPr>
        <sz val="12"/>
        <rFont val="Calibri"/>
        <family val="2"/>
      </rPr>
      <t xml:space="preserve">Effective </t>
    </r>
    <r>
      <rPr>
        <sz val="12"/>
        <color rgb="FFFF0000"/>
        <rFont val="Calibri"/>
        <family val="2"/>
      </rPr>
      <t>July 1, 2023</t>
    </r>
    <r>
      <rPr>
        <sz val="12"/>
        <rFont val="Calibri"/>
        <family val="2"/>
      </rPr>
      <t xml:space="preserve"> to </t>
    </r>
    <r>
      <rPr>
        <sz val="12"/>
        <color rgb="FFFF0000"/>
        <rFont val="Calibri"/>
        <family val="2"/>
      </rPr>
      <t>June 30, 2024</t>
    </r>
    <r>
      <rPr>
        <sz val="12"/>
        <rFont val="Calibri"/>
        <family val="2"/>
      </rPr>
      <t>.</t>
    </r>
    <r>
      <rPr>
        <sz val="8"/>
        <rFont val="Calibri"/>
        <family val="2"/>
      </rPr>
      <t xml:space="preserve"> </t>
    </r>
    <r>
      <rPr>
        <sz val="6"/>
        <rFont val="Calibri"/>
        <family val="2"/>
      </rPr>
      <t>(WKS_C_Kitchen_Prescriptive_PY23_2RN)</t>
    </r>
    <r>
      <rPr>
        <sz val="8"/>
        <rFont val="Calibri"/>
        <family val="2"/>
      </rPr>
      <t xml:space="preserve">
</t>
    </r>
    <r>
      <rPr>
        <i/>
        <sz val="10"/>
        <rFont val="Calibri"/>
        <family val="2"/>
      </rPr>
      <t>Hawaii Energy's mission is to empower island families and businesses to make smart energy choices that reduce energy consumption, save money and pursue a 100% clean energy future.</t>
    </r>
  </si>
  <si>
    <t>Horizontal Glass-Door, 0 &lt; V &lt; 15</t>
  </si>
  <si>
    <t>Horizontal Solid-Door, 0 &lt; V &lt;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</si>
</sst>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General\ &quot;kW&quot;"/>
    <numFmt numFmtId="166" formatCode="General\ &quot;kWh&quot;"/>
    <numFmt numFmtId="167" formatCode="_(&quot;$&quot;* #,##0.00&quot; / kW&quot;_);_(&quot;$&quot;* \(#,##0.00\);_(&quot;$&quot;* &quot;-&quot;??_);_(@_)"/>
    <numFmt numFmtId="168" formatCode="_(&quot;$&quot;* #,##0.00&quot; / kWh&quot;_);_(&quot;$&quot;* \(#,##0.00\);_(&quot;$&quot;* &quot;-&quot;??_);_(@_)"/>
    <numFmt numFmtId="169" formatCode="_(&quot;$&quot;* #,##0.0000_);_(&quot;$&quot;* \(#,##0.0000\);_(&quot;$&quot;* &quot;-&quot;??_);_(@_)"/>
    <numFmt numFmtId="170" formatCode="General\ &quot;Years&quot;"/>
  </numFmts>
  <fonts count="69"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font>
    <font>
      <sz val="10"/>
      <name val="Calibri"/>
      <family val="2"/>
    </font>
    <font>
      <b/>
      <sz val="14"/>
      <name val="Calibri"/>
      <family val="2"/>
    </font>
    <font>
      <sz val="12"/>
      <name val="Calibri"/>
      <family val="2"/>
    </font>
    <font>
      <sz val="12"/>
      <color rgb="FFFF0000"/>
      <name val="Calibri"/>
      <family val="2"/>
    </font>
    <font>
      <sz val="8"/>
      <name val="Calibri"/>
      <family val="2"/>
    </font>
    <font>
      <sz val="6"/>
      <name val="Calibri"/>
      <family val="2"/>
    </font>
    <font>
      <i/>
      <sz val="10"/>
      <name val="Calibri"/>
      <family val="2"/>
    </font>
    <font>
      <sz val="9"/>
      <name val="Calibri"/>
      <family val="2"/>
    </font>
    <font>
      <b/>
      <sz val="12"/>
      <color rgb="FFFFFFFF"/>
      <name val="Calibri"/>
      <family val="2"/>
    </font>
    <font>
      <b/>
      <sz val="12"/>
      <name val="Calibri"/>
      <family val="2"/>
    </font>
    <font>
      <b/>
      <i/>
      <sz val="10"/>
      <name val="Calibri"/>
      <family val="2"/>
    </font>
    <font>
      <u/>
      <sz val="10"/>
      <color theme="10"/>
      <name val="Times New Roman"/>
      <family val="1"/>
    </font>
    <font>
      <sz val="9"/>
      <color rgb="FF000000"/>
      <name val="Calibri"/>
      <family val="2"/>
    </font>
    <font>
      <b/>
      <sz val="9"/>
      <color indexed="81"/>
      <name val="Tahoma"/>
      <family val="2"/>
    </font>
    <font>
      <b/>
      <sz val="11"/>
      <name val="Calibri"/>
      <family val="2"/>
    </font>
    <font>
      <b/>
      <sz val="11"/>
      <color theme="1"/>
      <name val="Calibri"/>
      <family val="2"/>
    </font>
    <font>
      <b/>
      <sz val="9"/>
      <color theme="1"/>
      <name val="Calibri"/>
      <family val="2"/>
    </font>
    <font>
      <sz val="11"/>
      <color theme="1"/>
      <name val="Calibri"/>
      <family val="2"/>
    </font>
    <font>
      <b/>
      <u/>
      <sz val="9"/>
      <color theme="1"/>
      <name val="Calibri"/>
      <family val="2"/>
    </font>
    <font>
      <sz val="9"/>
      <color theme="1"/>
      <name val="Calibri"/>
      <family val="2"/>
    </font>
    <font>
      <sz val="9"/>
      <color theme="1"/>
      <name val="Calibri"/>
      <family val="2"/>
      <scheme val="minor"/>
    </font>
    <font>
      <b/>
      <sz val="11"/>
      <color rgb="FFFFFFFF"/>
      <name val="Calibri"/>
      <family val="2"/>
    </font>
    <font>
      <b/>
      <sz val="10"/>
      <color theme="1"/>
      <name val="Calibri"/>
      <family val="2"/>
    </font>
    <font>
      <b/>
      <sz val="10"/>
      <color rgb="FFFFFFFF"/>
      <name val="Calibri"/>
      <family val="2"/>
    </font>
    <font>
      <b/>
      <sz val="12"/>
      <color theme="1"/>
      <name val="Calibri"/>
      <family val="2"/>
      <scheme val="minor"/>
    </font>
    <font>
      <b/>
      <sz val="10"/>
      <name val="Calibri"/>
      <family val="2"/>
      <scheme val="minor"/>
    </font>
    <font>
      <b/>
      <sz val="10"/>
      <color theme="1"/>
      <name val="Calibri"/>
      <family val="2"/>
      <scheme val="minor"/>
    </font>
    <font>
      <b/>
      <sz val="8"/>
      <color theme="1"/>
      <name val="Calibri"/>
      <family val="2"/>
      <scheme val="minor"/>
    </font>
    <font>
      <u/>
      <sz val="11"/>
      <color theme="1"/>
      <name val="Calibri"/>
      <family val="2"/>
      <scheme val="minor"/>
    </font>
    <font>
      <b/>
      <sz val="11"/>
      <color rgb="FFFFFFFF"/>
      <name val="Calibri"/>
      <family val="2"/>
      <scheme val="minor"/>
    </font>
    <font>
      <i/>
      <sz val="9"/>
      <color theme="1"/>
      <name val="Calibri"/>
      <family val="2"/>
      <scheme val="minor"/>
    </font>
    <font>
      <b/>
      <sz val="12"/>
      <color rgb="FFFFFFFF"/>
      <name val="Calibri"/>
      <family val="2"/>
      <scheme val="minor"/>
    </font>
    <font>
      <b/>
      <sz val="11"/>
      <name val="Calibri"/>
      <family val="2"/>
      <scheme val="minor"/>
    </font>
    <font>
      <b/>
      <sz val="9"/>
      <color theme="1"/>
      <name val="Calibri"/>
      <family val="2"/>
      <scheme val="minor"/>
    </font>
    <font>
      <u/>
      <sz val="9"/>
      <color theme="10"/>
      <name val="Calibri"/>
      <family val="2"/>
      <scheme val="minor"/>
    </font>
    <font>
      <sz val="9"/>
      <name val="Calibri"/>
      <family val="2"/>
      <scheme val="minor"/>
    </font>
    <font>
      <sz val="9"/>
      <color rgb="FF000000"/>
      <name val="Calibri"/>
      <family val="2"/>
      <scheme val="minor"/>
    </font>
    <font>
      <b/>
      <sz val="11"/>
      <color theme="0"/>
      <name val="Calibri"/>
      <family val="2"/>
      <scheme val="minor"/>
    </font>
    <font>
      <sz val="11"/>
      <color theme="0"/>
      <name val="Calibri"/>
      <family val="2"/>
      <scheme val="minor"/>
    </font>
    <font>
      <b/>
      <u/>
      <sz val="9"/>
      <color theme="1"/>
      <name val="Calibri"/>
      <family val="2"/>
      <scheme val="minor"/>
    </font>
    <font>
      <sz val="10"/>
      <color theme="1"/>
      <name val="Calibri"/>
      <family val="2"/>
      <scheme val="minor"/>
    </font>
    <font>
      <sz val="8"/>
      <color theme="1"/>
      <name val="Arial"/>
      <family val="2"/>
    </font>
    <font>
      <sz val="7.5"/>
      <color theme="1"/>
      <name val="Calibri"/>
      <family val="2"/>
      <scheme val="minor"/>
    </font>
    <font>
      <vertAlign val="subscript"/>
      <sz val="11"/>
      <color theme="1"/>
      <name val="Calibri"/>
      <family val="2"/>
      <scheme val="minor"/>
    </font>
    <font>
      <b/>
      <u/>
      <sz val="11"/>
      <color theme="1"/>
      <name val="Calibri"/>
      <family val="2"/>
      <scheme val="minor"/>
    </font>
    <font>
      <b/>
      <sz val="8"/>
      <color theme="1"/>
      <name val="Calibri"/>
      <family val="2"/>
    </font>
    <font>
      <b/>
      <u/>
      <sz val="8"/>
      <color theme="1"/>
      <name val="Calibri"/>
      <family val="2"/>
    </font>
    <font>
      <i/>
      <sz val="9"/>
      <color theme="1"/>
      <name val="Calibri"/>
      <family val="2"/>
    </font>
    <font>
      <sz val="10"/>
      <color theme="1"/>
      <name val="Calibri"/>
      <family val="2"/>
    </font>
    <font>
      <i/>
      <sz val="10"/>
      <color theme="1"/>
      <name val="Calibri"/>
      <family val="2"/>
    </font>
    <font>
      <b/>
      <sz val="12"/>
      <color theme="1"/>
      <name val="Calibri"/>
      <family val="2"/>
    </font>
    <font>
      <sz val="11"/>
      <name val="Calibri"/>
      <family val="2"/>
    </font>
    <font>
      <sz val="11"/>
      <name val="Calibri"/>
      <family val="2"/>
      <scheme val="minor"/>
    </font>
    <font>
      <i/>
      <sz val="9"/>
      <name val="Calibri"/>
      <family val="2"/>
      <scheme val="minor"/>
    </font>
    <font>
      <sz val="8"/>
      <color theme="1"/>
      <name val="Calibri"/>
      <family val="2"/>
      <scheme val="minor"/>
    </font>
    <font>
      <b/>
      <sz val="12"/>
      <name val="Calibri"/>
      <family val="2"/>
      <scheme val="minor"/>
    </font>
    <font>
      <sz val="10"/>
      <name val="Calibri"/>
      <family val="2"/>
      <scheme val="minor"/>
    </font>
    <font>
      <b/>
      <sz val="12"/>
      <color theme="0"/>
      <name val="Calibri"/>
      <family val="2"/>
      <scheme val="minor"/>
    </font>
    <font>
      <b/>
      <i/>
      <sz val="12"/>
      <name val="Calibri"/>
      <family val="2"/>
    </font>
    <font>
      <b/>
      <sz val="8"/>
      <name val="Calibri"/>
      <family val="2"/>
      <scheme val="minor"/>
    </font>
    <font>
      <b/>
      <sz val="9"/>
      <name val="Calibri"/>
      <family val="2"/>
      <scheme val="minor"/>
    </font>
    <font>
      <b/>
      <sz val="9"/>
      <name val="Calibri"/>
      <family val="2"/>
    </font>
    <font>
      <i/>
      <sz val="10"/>
      <color rgb="FFFF0000"/>
      <name val="Calibri"/>
      <family val="2"/>
    </font>
    <font>
      <b/>
      <i/>
      <sz val="10"/>
      <color rgb="FFFF0000"/>
      <name val="Calibri"/>
      <family val="2"/>
    </font>
    <font>
      <sz val="10"/>
      <name val="Arial"/>
      <family val="2"/>
    </font>
  </fonts>
  <fills count="17">
    <fill>
      <patternFill patternType="none"/>
    </fill>
    <fill>
      <patternFill patternType="gray125"/>
    </fill>
    <fill>
      <patternFill patternType="solid">
        <fgColor rgb="FF00BCE4"/>
        <bgColor indexed="64"/>
      </patternFill>
    </fill>
    <fill>
      <patternFill patternType="solid">
        <fgColor theme="4" tint="0.79998168889431442"/>
        <bgColor indexed="64"/>
      </patternFill>
    </fill>
    <fill>
      <patternFill patternType="solid">
        <fgColor rgb="FF000000"/>
      </patternFill>
    </fill>
    <fill>
      <patternFill patternType="solid">
        <fgColor theme="0" tint="-0.14999847407452621"/>
        <bgColor indexed="64"/>
      </patternFill>
    </fill>
    <fill>
      <patternFill patternType="solid">
        <fgColor rgb="FF00B3DF"/>
        <bgColor indexed="64"/>
      </patternFill>
    </fill>
    <fill>
      <patternFill patternType="solid">
        <fgColor rgb="FF000000"/>
        <bgColor indexed="64"/>
      </patternFill>
    </fill>
    <fill>
      <patternFill patternType="solid">
        <fgColor rgb="FFD9D9D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5"/>
        <bgColor indexed="64"/>
      </patternFill>
    </fill>
    <fill>
      <patternFill patternType="solid">
        <fgColor rgb="FF92D050"/>
        <bgColor indexed="64"/>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style="double">
        <color indexed="64"/>
      </right>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thin">
        <color indexed="64"/>
      </left>
      <right style="double">
        <color indexed="64"/>
      </right>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s>
  <cellStyleXfs count="8">
    <xf numFmtId="0" fontId="0" fillId="0" borderId="0"/>
    <xf numFmtId="9" fontId="1" fillId="0" borderId="0" applyFont="0" applyFill="0" applyBorder="0" applyAlignment="0" applyProtection="0"/>
    <xf numFmtId="0" fontId="15"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0" fontId="68" fillId="0" borderId="0"/>
  </cellStyleXfs>
  <cellXfs count="537">
    <xf numFmtId="0" fontId="0" fillId="0" borderId="0" xfId="0"/>
    <xf numFmtId="0" fontId="3" fillId="0" borderId="0" xfId="0" applyFont="1" applyFill="1" applyBorder="1" applyAlignment="1" applyProtection="1">
      <alignment horizontal="left" vertical="center"/>
    </xf>
    <xf numFmtId="0" fontId="0" fillId="2" borderId="1" xfId="0" applyFont="1" applyFill="1" applyBorder="1" applyAlignment="1" applyProtection="1">
      <alignment vertical="center"/>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20" fillId="5" borderId="10" xfId="0" applyFont="1" applyFill="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1" fillId="0" borderId="0" xfId="0" applyFont="1" applyBorder="1" applyAlignment="1" applyProtection="1">
      <alignment vertical="center"/>
    </xf>
    <xf numFmtId="0" fontId="23" fillId="0" borderId="0" xfId="0" applyFont="1" applyBorder="1" applyAlignment="1" applyProtection="1">
      <alignment horizontal="center" vertical="center" wrapText="1"/>
    </xf>
    <xf numFmtId="0" fontId="21" fillId="0" borderId="0" xfId="0" applyFont="1" applyAlignment="1" applyProtection="1">
      <alignment vertical="center"/>
    </xf>
    <xf numFmtId="0" fontId="21" fillId="0" borderId="0" xfId="0" applyFont="1" applyAlignment="1" applyProtection="1">
      <alignment vertical="center" wrapText="1"/>
    </xf>
    <xf numFmtId="0" fontId="11"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3" fillId="8" borderId="6" xfId="0" applyFont="1" applyFill="1" applyBorder="1" applyAlignment="1" applyProtection="1">
      <alignment horizontal="center" vertical="center" wrapText="1"/>
    </xf>
    <xf numFmtId="0" fontId="23" fillId="5" borderId="6"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protection locked="0"/>
    </xf>
    <xf numFmtId="0" fontId="23" fillId="3" borderId="6" xfId="0" applyNumberFormat="1" applyFont="1" applyFill="1" applyBorder="1" applyAlignment="1" applyProtection="1">
      <alignment horizontal="center" vertical="center" wrapText="1"/>
      <protection locked="0"/>
    </xf>
    <xf numFmtId="0" fontId="15" fillId="0" borderId="0" xfId="2" applyFill="1" applyBorder="1"/>
    <xf numFmtId="0" fontId="0" fillId="0" borderId="0" xfId="0" applyFont="1" applyBorder="1" applyAlignment="1" applyProtection="1">
      <alignment horizontal="center" vertical="top" wrapText="1"/>
    </xf>
    <xf numFmtId="0" fontId="31" fillId="0" borderId="0" xfId="0" applyFont="1" applyBorder="1" applyAlignment="1" applyProtection="1">
      <alignment horizontal="center" vertical="top" wrapText="1"/>
    </xf>
    <xf numFmtId="0" fontId="0" fillId="0" borderId="0" xfId="0" applyFont="1" applyBorder="1" applyAlignment="1" applyProtection="1"/>
    <xf numFmtId="164" fontId="31" fillId="0" borderId="0" xfId="0" applyNumberFormat="1" applyFont="1" applyBorder="1" applyAlignment="1" applyProtection="1">
      <alignment horizontal="center" vertical="top" wrapText="1"/>
    </xf>
    <xf numFmtId="0" fontId="0" fillId="0" borderId="0" xfId="0" applyFont="1" applyAlignment="1" applyProtection="1"/>
    <xf numFmtId="0" fontId="2" fillId="0" borderId="0" xfId="0" applyFont="1" applyBorder="1" applyAlignment="1" applyProtection="1">
      <alignment wrapText="1"/>
    </xf>
    <xf numFmtId="0" fontId="2" fillId="0" borderId="6"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34" fillId="8" borderId="6" xfId="0" applyFont="1" applyFill="1" applyBorder="1" applyAlignment="1" applyProtection="1">
      <alignment horizontal="center" wrapText="1"/>
    </xf>
    <xf numFmtId="0" fontId="34" fillId="5" borderId="11" xfId="0" applyFont="1" applyFill="1" applyBorder="1" applyAlignment="1" applyProtection="1">
      <alignment horizontal="center" wrapText="1"/>
    </xf>
    <xf numFmtId="9" fontId="34" fillId="8" borderId="11" xfId="1" applyFont="1" applyFill="1" applyBorder="1" applyAlignment="1" applyProtection="1">
      <alignment horizontal="center" wrapText="1"/>
    </xf>
    <xf numFmtId="0" fontId="34" fillId="8" borderId="11" xfId="0" applyFont="1" applyFill="1" applyBorder="1" applyAlignment="1" applyProtection="1">
      <alignment horizontal="center" wrapText="1"/>
    </xf>
    <xf numFmtId="0" fontId="24" fillId="3" borderId="6" xfId="0" applyFont="1" applyFill="1" applyBorder="1" applyAlignment="1" applyProtection="1">
      <alignment horizontal="center" wrapText="1"/>
      <protection locked="0"/>
    </xf>
    <xf numFmtId="0" fontId="24" fillId="3" borderId="11" xfId="0" applyFont="1" applyFill="1" applyBorder="1" applyAlignment="1" applyProtection="1">
      <alignment horizontal="center" wrapText="1"/>
      <protection locked="0"/>
    </xf>
    <xf numFmtId="0" fontId="34" fillId="3" borderId="11" xfId="0" applyFont="1" applyFill="1" applyBorder="1" applyAlignment="1" applyProtection="1">
      <alignment horizontal="center" wrapText="1"/>
      <protection locked="0"/>
    </xf>
    <xf numFmtId="9" fontId="24" fillId="3" borderId="6" xfId="1" applyFont="1" applyFill="1" applyBorder="1" applyAlignment="1" applyProtection="1">
      <alignment horizontal="center" wrapText="1"/>
      <protection locked="0"/>
    </xf>
    <xf numFmtId="0" fontId="24" fillId="3" borderId="13" xfId="0" applyFont="1" applyFill="1" applyBorder="1" applyAlignment="1" applyProtection="1">
      <alignment horizontal="center" wrapText="1"/>
      <protection locked="0"/>
    </xf>
    <xf numFmtId="0" fontId="24" fillId="3" borderId="6" xfId="0" applyNumberFormat="1" applyFont="1" applyFill="1" applyBorder="1" applyAlignment="1" applyProtection="1">
      <alignment horizontal="center" wrapText="1"/>
      <protection locked="0"/>
    </xf>
    <xf numFmtId="44" fontId="28" fillId="9" borderId="6" xfId="0" applyNumberFormat="1" applyFont="1" applyFill="1" applyBorder="1" applyAlignment="1" applyProtection="1">
      <alignment horizontal="center" vertical="center" wrapText="1"/>
    </xf>
    <xf numFmtId="0" fontId="0" fillId="10" borderId="6" xfId="0" applyFont="1" applyFill="1" applyBorder="1" applyProtection="1"/>
    <xf numFmtId="0" fontId="0" fillId="0" borderId="6" xfId="0" applyFont="1" applyFill="1" applyBorder="1" applyProtection="1"/>
    <xf numFmtId="0" fontId="0" fillId="0" borderId="6" xfId="0" applyFont="1" applyBorder="1" applyProtection="1"/>
    <xf numFmtId="0" fontId="39" fillId="0" borderId="6" xfId="0" applyFont="1" applyFill="1" applyBorder="1" applyAlignment="1" applyProtection="1">
      <alignment horizontal="center" vertical="center" wrapText="1"/>
    </xf>
    <xf numFmtId="0" fontId="39" fillId="0" borderId="4" xfId="0" applyFont="1" applyFill="1" applyBorder="1" applyAlignment="1" applyProtection="1">
      <alignment horizontal="center" vertical="center" wrapText="1"/>
    </xf>
    <xf numFmtId="0" fontId="20" fillId="5" borderId="12" xfId="0" applyFont="1" applyFill="1" applyBorder="1" applyAlignment="1" applyProtection="1">
      <alignment horizontal="center" vertical="center" wrapText="1"/>
    </xf>
    <xf numFmtId="0" fontId="37" fillId="5" borderId="35" xfId="0" applyFont="1" applyFill="1" applyBorder="1" applyAlignment="1" applyProtection="1">
      <alignment horizontal="center" vertical="center" wrapText="1"/>
    </xf>
    <xf numFmtId="6" fontId="37" fillId="5" borderId="44" xfId="0" applyNumberFormat="1" applyFont="1" applyFill="1" applyBorder="1" applyAlignment="1" applyProtection="1">
      <alignment horizontal="center" vertical="center"/>
    </xf>
    <xf numFmtId="164" fontId="37" fillId="0" borderId="45" xfId="0" applyNumberFormat="1" applyFont="1" applyBorder="1" applyAlignment="1" applyProtection="1">
      <alignment horizontal="center" vertical="center" wrapText="1"/>
    </xf>
    <xf numFmtId="0" fontId="0" fillId="0" borderId="0" xfId="0" applyFont="1" applyAlignment="1" applyProtection="1">
      <alignment vertical="center"/>
    </xf>
    <xf numFmtId="0" fontId="34" fillId="8" borderId="6" xfId="0" applyFont="1" applyFill="1" applyBorder="1" applyAlignment="1" applyProtection="1">
      <alignment horizontal="center" vertical="center" wrapText="1"/>
    </xf>
    <xf numFmtId="0" fontId="34" fillId="5" borderId="6" xfId="0" applyFont="1" applyFill="1" applyBorder="1" applyAlignment="1" applyProtection="1">
      <alignment horizontal="center" vertical="center" wrapText="1"/>
    </xf>
    <xf numFmtId="2" fontId="34" fillId="8" borderId="6" xfId="0" applyNumberFormat="1"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protection locked="0"/>
    </xf>
    <xf numFmtId="2" fontId="24" fillId="3" borderId="6" xfId="0" applyNumberFormat="1" applyFont="1" applyFill="1" applyBorder="1" applyAlignment="1" applyProtection="1">
      <alignment horizontal="center" vertical="center"/>
      <protection locked="0"/>
    </xf>
    <xf numFmtId="0" fontId="24" fillId="3" borderId="6" xfId="0" applyNumberFormat="1" applyFont="1" applyFill="1" applyBorder="1" applyAlignment="1" applyProtection="1">
      <alignment horizontal="center" vertical="center" wrapText="1"/>
      <protection locked="0"/>
    </xf>
    <xf numFmtId="0" fontId="0" fillId="10" borderId="6" xfId="0" applyFont="1" applyFill="1" applyBorder="1" applyAlignment="1" applyProtection="1">
      <alignment vertical="center"/>
    </xf>
    <xf numFmtId="0" fontId="0" fillId="0" borderId="6" xfId="0" applyFont="1" applyBorder="1" applyAlignment="1" applyProtection="1">
      <alignment vertical="center"/>
    </xf>
    <xf numFmtId="0" fontId="39" fillId="0" borderId="11" xfId="0" applyFont="1" applyFill="1" applyBorder="1" applyAlignment="1" applyProtection="1">
      <alignment horizontal="center" vertical="center" wrapText="1"/>
    </xf>
    <xf numFmtId="0" fontId="46" fillId="0" borderId="0" xfId="0" applyFont="1" applyBorder="1" applyAlignment="1" applyProtection="1">
      <alignment horizontal="center"/>
    </xf>
    <xf numFmtId="0" fontId="0" fillId="0" borderId="6" xfId="0" applyFont="1" applyBorder="1" applyAlignment="1" applyProtection="1">
      <alignment horizontal="center" vertical="center" wrapText="1"/>
    </xf>
    <xf numFmtId="0" fontId="0" fillId="0" borderId="49" xfId="0" applyFont="1" applyBorder="1" applyAlignment="1" applyProtection="1">
      <alignment horizontal="center" vertical="center" wrapText="1"/>
    </xf>
    <xf numFmtId="0" fontId="0" fillId="0" borderId="6" xfId="0" applyFont="1" applyBorder="1" applyAlignment="1" applyProtection="1">
      <alignment horizontal="center" wrapText="1"/>
    </xf>
    <xf numFmtId="0" fontId="2"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xf>
    <xf numFmtId="6" fontId="2" fillId="0" borderId="0" xfId="0" applyNumberFormat="1"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0" fillId="0" borderId="0" xfId="0" applyFont="1" applyAlignment="1" applyProtection="1">
      <alignment vertical="center" wrapText="1"/>
    </xf>
    <xf numFmtId="0" fontId="0" fillId="0" borderId="29" xfId="0" applyFont="1" applyBorder="1" applyAlignment="1" applyProtection="1">
      <alignment vertical="center" wrapText="1"/>
    </xf>
    <xf numFmtId="0" fontId="0" fillId="0" borderId="15"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1" xfId="0" applyFont="1" applyBorder="1" applyAlignment="1" applyProtection="1">
      <alignment horizontal="center" vertical="center"/>
    </xf>
    <xf numFmtId="0" fontId="0" fillId="0" borderId="6" xfId="0" applyFont="1" applyBorder="1" applyAlignment="1" applyProtection="1">
      <alignment wrapText="1"/>
    </xf>
    <xf numFmtId="0" fontId="0" fillId="0" borderId="0" xfId="0" applyFont="1" applyProtection="1"/>
    <xf numFmtId="0" fontId="2" fillId="0" borderId="15" xfId="0" applyFont="1" applyBorder="1" applyAlignment="1" applyProtection="1">
      <alignment horizontal="center" vertical="center" wrapText="1"/>
    </xf>
    <xf numFmtId="6" fontId="34" fillId="8" borderId="6" xfId="0" applyNumberFormat="1" applyFont="1" applyFill="1" applyBorder="1" applyAlignment="1" applyProtection="1">
      <alignment horizontal="center" wrapText="1"/>
    </xf>
    <xf numFmtId="0" fontId="0" fillId="0" borderId="0" xfId="0" applyFont="1" applyFill="1" applyProtection="1"/>
    <xf numFmtId="6" fontId="34" fillId="0" borderId="6" xfId="0" applyNumberFormat="1" applyFont="1" applyFill="1" applyBorder="1" applyAlignment="1" applyProtection="1">
      <alignment horizontal="center" wrapText="1"/>
    </xf>
    <xf numFmtId="0" fontId="37" fillId="0" borderId="0" xfId="0" applyFont="1" applyBorder="1" applyAlignment="1" applyProtection="1">
      <alignment wrapText="1"/>
    </xf>
    <xf numFmtId="0" fontId="24" fillId="0" borderId="0" xfId="0" applyFont="1" applyAlignment="1" applyProtection="1"/>
    <xf numFmtId="0" fontId="2" fillId="0" borderId="19" xfId="0" applyFont="1" applyBorder="1" applyAlignment="1" applyProtection="1">
      <alignment horizontal="center" vertical="center" wrapText="1"/>
    </xf>
    <xf numFmtId="6" fontId="0" fillId="0" borderId="0" xfId="0" applyNumberFormat="1"/>
    <xf numFmtId="44" fontId="40" fillId="0" borderId="6" xfId="0" applyNumberFormat="1" applyFont="1" applyFill="1" applyBorder="1" applyAlignment="1" applyProtection="1">
      <alignment horizontal="center" vertical="center" shrinkToFit="1"/>
    </xf>
    <xf numFmtId="0" fontId="21" fillId="0" borderId="6" xfId="0" applyFont="1" applyBorder="1" applyAlignment="1" applyProtection="1">
      <alignment horizontal="center" vertical="center"/>
    </xf>
    <xf numFmtId="0" fontId="19" fillId="0" borderId="6"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21" fillId="10" borderId="6" xfId="0" applyFont="1" applyFill="1" applyBorder="1" applyAlignment="1" applyProtection="1">
      <alignment horizontal="center" vertical="center" wrapText="1"/>
    </xf>
    <xf numFmtId="0" fontId="53" fillId="8" borderId="6" xfId="0" applyFont="1" applyFill="1" applyBorder="1" applyAlignment="1" applyProtection="1">
      <alignment horizontal="center" vertical="center" wrapText="1"/>
    </xf>
    <xf numFmtId="0" fontId="53" fillId="5" borderId="11" xfId="0" applyFont="1" applyFill="1" applyBorder="1" applyAlignment="1" applyProtection="1">
      <alignment horizontal="center" vertical="center" wrapText="1"/>
    </xf>
    <xf numFmtId="0" fontId="53" fillId="8" borderId="11" xfId="0" applyFont="1" applyFill="1" applyBorder="1" applyAlignment="1" applyProtection="1">
      <alignment horizontal="center" vertical="center" wrapText="1"/>
    </xf>
    <xf numFmtId="0" fontId="52" fillId="3" borderId="6" xfId="0" applyFont="1" applyFill="1" applyBorder="1" applyAlignment="1" applyProtection="1">
      <alignment horizontal="center" vertical="center" wrapText="1"/>
      <protection locked="0"/>
    </xf>
    <xf numFmtId="0" fontId="52" fillId="3" borderId="11" xfId="0" applyFont="1" applyFill="1" applyBorder="1" applyAlignment="1" applyProtection="1">
      <alignment horizontal="center" vertical="center" wrapText="1"/>
      <protection locked="0"/>
    </xf>
    <xf numFmtId="0" fontId="55" fillId="10" borderId="6" xfId="0" applyFont="1" applyFill="1" applyBorder="1" applyAlignment="1" applyProtection="1">
      <alignment horizontal="center" vertical="center"/>
    </xf>
    <xf numFmtId="0" fontId="34" fillId="5" borderId="11" xfId="0" applyFont="1" applyFill="1" applyBorder="1" applyAlignment="1" applyProtection="1">
      <alignment horizontal="center" vertical="center" wrapText="1"/>
    </xf>
    <xf numFmtId="9" fontId="34" fillId="8" borderId="11" xfId="1" applyFont="1" applyFill="1" applyBorder="1" applyAlignment="1" applyProtection="1">
      <alignment horizontal="center" vertical="center" wrapText="1"/>
    </xf>
    <xf numFmtId="0" fontId="34" fillId="8" borderId="11" xfId="0" applyFont="1" applyFill="1" applyBorder="1" applyAlignment="1" applyProtection="1">
      <alignment horizontal="center" vertical="center" wrapText="1"/>
    </xf>
    <xf numFmtId="0" fontId="34" fillId="8" borderId="6"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0" fontId="0" fillId="0" borderId="0" xfId="0" applyAlignment="1">
      <alignment horizontal="center" vertical="center"/>
    </xf>
    <xf numFmtId="0" fontId="24" fillId="3" borderId="11" xfId="0" applyFont="1" applyFill="1" applyBorder="1" applyAlignment="1" applyProtection="1">
      <alignment horizontal="center" vertical="center" wrapText="1"/>
      <protection locked="0"/>
    </xf>
    <xf numFmtId="9" fontId="24" fillId="3" borderId="6" xfId="1"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center" wrapText="1"/>
      <protection locked="0"/>
    </xf>
    <xf numFmtId="6" fontId="24" fillId="0" borderId="13" xfId="0" applyNumberFormat="1" applyFont="1" applyBorder="1" applyAlignment="1" applyProtection="1">
      <alignment horizontal="center" vertical="center" wrapText="1"/>
    </xf>
    <xf numFmtId="0" fontId="21" fillId="0" borderId="0" xfId="0" applyFont="1" applyAlignment="1" applyProtection="1">
      <alignment horizontal="center" vertical="center"/>
    </xf>
    <xf numFmtId="0" fontId="21" fillId="0" borderId="6" xfId="0" applyFont="1" applyFill="1" applyBorder="1" applyAlignment="1" applyProtection="1">
      <alignment horizontal="center" vertical="center"/>
    </xf>
    <xf numFmtId="0" fontId="37" fillId="0" borderId="6" xfId="0" applyFont="1" applyBorder="1" applyAlignment="1" applyProtection="1">
      <alignment vertical="top" wrapText="1"/>
    </xf>
    <xf numFmtId="0" fontId="2" fillId="0" borderId="0" xfId="0" applyFont="1" applyAlignment="1" applyProtection="1">
      <alignment wrapText="1"/>
    </xf>
    <xf numFmtId="0" fontId="24" fillId="8" borderId="6" xfId="0" applyFont="1" applyFill="1" applyBorder="1" applyAlignment="1" applyProtection="1">
      <alignment horizontal="center" vertical="center" wrapText="1"/>
    </xf>
    <xf numFmtId="0" fontId="24" fillId="8" borderId="6" xfId="0" applyNumberFormat="1" applyFont="1" applyFill="1" applyBorder="1" applyAlignment="1" applyProtection="1">
      <alignment horizontal="center" vertical="center" wrapText="1"/>
    </xf>
    <xf numFmtId="0" fontId="42" fillId="11" borderId="59" xfId="0" applyFont="1" applyFill="1" applyBorder="1" applyAlignment="1" applyProtection="1">
      <alignment wrapText="1"/>
    </xf>
    <xf numFmtId="0" fontId="42" fillId="11" borderId="59" xfId="0" applyFont="1" applyFill="1" applyBorder="1" applyProtection="1"/>
    <xf numFmtId="0" fontId="0" fillId="0" borderId="60" xfId="0" applyFont="1" applyBorder="1" applyProtection="1"/>
    <xf numFmtId="0" fontId="0" fillId="0" borderId="61" xfId="0" applyFont="1" applyBorder="1" applyProtection="1"/>
    <xf numFmtId="0" fontId="0" fillId="0" borderId="0" xfId="0" applyFont="1" applyBorder="1" applyAlignment="1" applyProtection="1">
      <alignment vertical="center"/>
    </xf>
    <xf numFmtId="0" fontId="0" fillId="0" borderId="0" xfId="0" applyFont="1" applyFill="1" applyAlignment="1" applyProtection="1">
      <alignment vertical="center"/>
    </xf>
    <xf numFmtId="0" fontId="56" fillId="0" borderId="0" xfId="0" applyFont="1" applyFill="1" applyAlignment="1" applyProtection="1">
      <alignment vertical="center"/>
    </xf>
    <xf numFmtId="0" fontId="37" fillId="0" borderId="6"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164" fontId="31" fillId="0" borderId="0" xfId="0" applyNumberFormat="1" applyFont="1" applyBorder="1" applyAlignment="1" applyProtection="1">
      <alignment horizontal="center" vertical="center" wrapText="1"/>
    </xf>
    <xf numFmtId="0" fontId="2" fillId="0" borderId="0" xfId="0" applyFont="1" applyBorder="1" applyAlignment="1" applyProtection="1">
      <alignment vertical="center"/>
    </xf>
    <xf numFmtId="0" fontId="42" fillId="11" borderId="6" xfId="0" applyFont="1" applyFill="1" applyBorder="1" applyAlignment="1" applyProtection="1">
      <alignment vertical="center"/>
    </xf>
    <xf numFmtId="0" fontId="57" fillId="5" borderId="6" xfId="0" applyFont="1" applyFill="1" applyBorder="1" applyAlignment="1" applyProtection="1">
      <alignment horizontal="center" vertical="center" wrapText="1"/>
    </xf>
    <xf numFmtId="0" fontId="39" fillId="3" borderId="6" xfId="0" applyFont="1" applyFill="1" applyBorder="1" applyAlignment="1" applyProtection="1">
      <alignment horizontal="center" vertical="center" wrapText="1"/>
      <protection locked="0"/>
    </xf>
    <xf numFmtId="164" fontId="37" fillId="0" borderId="45" xfId="0" applyNumberFormat="1" applyFont="1" applyBorder="1" applyAlignment="1" applyProtection="1">
      <alignment horizontal="center" vertical="center"/>
    </xf>
    <xf numFmtId="0" fontId="37" fillId="0" borderId="18" xfId="0" applyFont="1" applyBorder="1" applyAlignment="1" applyProtection="1">
      <alignment horizontal="center" vertical="center" wrapText="1"/>
    </xf>
    <xf numFmtId="164" fontId="37" fillId="0" borderId="58" xfId="0" applyNumberFormat="1" applyFont="1" applyBorder="1" applyAlignment="1" applyProtection="1">
      <alignment horizontal="center" vertical="center"/>
    </xf>
    <xf numFmtId="0" fontId="56" fillId="0" borderId="0" xfId="0" applyFont="1" applyFill="1" applyProtection="1"/>
    <xf numFmtId="0" fontId="0" fillId="0" borderId="0" xfId="0" applyFont="1" applyAlignment="1" applyProtection="1">
      <alignment wrapText="1"/>
    </xf>
    <xf numFmtId="0" fontId="0" fillId="0" borderId="0" xfId="0" applyFont="1" applyBorder="1" applyProtection="1"/>
    <xf numFmtId="0" fontId="42" fillId="11" borderId="6" xfId="0" applyFont="1" applyFill="1" applyBorder="1" applyProtection="1"/>
    <xf numFmtId="0" fontId="42" fillId="0" borderId="0" xfId="0" applyFont="1" applyFill="1" applyBorder="1" applyProtection="1"/>
    <xf numFmtId="0" fontId="0" fillId="0" borderId="0" xfId="0" applyFont="1" applyFill="1" applyBorder="1" applyProtection="1"/>
    <xf numFmtId="0" fontId="58" fillId="0" borderId="0" xfId="0" applyFont="1" applyProtection="1"/>
    <xf numFmtId="0" fontId="58" fillId="0" borderId="0" xfId="0" applyFont="1" applyFill="1" applyBorder="1" applyProtection="1"/>
    <xf numFmtId="0" fontId="2" fillId="8" borderId="48" xfId="0" applyFont="1" applyFill="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8" borderId="30" xfId="0" applyFont="1" applyFill="1" applyBorder="1" applyAlignment="1" applyProtection="1">
      <alignment horizontal="center" vertical="center" wrapText="1"/>
    </xf>
    <xf numFmtId="9" fontId="2" fillId="0" borderId="11" xfId="0" applyNumberFormat="1"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9" fontId="2" fillId="0" borderId="19" xfId="0" applyNumberFormat="1" applyFont="1" applyBorder="1" applyAlignment="1" applyProtection="1">
      <alignment horizontal="center" vertical="center" wrapText="1"/>
    </xf>
    <xf numFmtId="0" fontId="2" fillId="8" borderId="55" xfId="0" applyFont="1" applyFill="1" applyBorder="1" applyAlignment="1" applyProtection="1">
      <alignment horizontal="center" vertical="center" wrapText="1"/>
    </xf>
    <xf numFmtId="0" fontId="29" fillId="0" borderId="6" xfId="0" applyFont="1" applyFill="1" applyBorder="1" applyAlignment="1" applyProtection="1">
      <alignment horizontal="center" vertical="center" wrapText="1"/>
    </xf>
    <xf numFmtId="0" fontId="41" fillId="11" borderId="6" xfId="0" applyFont="1" applyFill="1" applyBorder="1" applyAlignment="1" applyProtection="1">
      <alignment wrapText="1"/>
    </xf>
    <xf numFmtId="0" fontId="60" fillId="3" borderId="6" xfId="0" applyFont="1" applyFill="1" applyBorder="1" applyAlignment="1" applyProtection="1">
      <alignment horizontal="center" vertical="center" wrapText="1"/>
      <protection locked="0"/>
    </xf>
    <xf numFmtId="2" fontId="60" fillId="3" borderId="6" xfId="0" applyNumberFormat="1" applyFont="1" applyFill="1" applyBorder="1" applyAlignment="1" applyProtection="1">
      <alignment horizontal="center" vertical="center" wrapText="1"/>
      <protection locked="0"/>
    </xf>
    <xf numFmtId="0" fontId="61" fillId="12" borderId="66" xfId="0" applyFont="1" applyFill="1" applyBorder="1" applyAlignment="1" applyProtection="1">
      <alignment vertical="top" wrapText="1"/>
    </xf>
    <xf numFmtId="0" fontId="61" fillId="12" borderId="67" xfId="0" applyFont="1" applyFill="1" applyBorder="1" applyAlignment="1" applyProtection="1">
      <alignment vertical="top" wrapText="1"/>
    </xf>
    <xf numFmtId="0" fontId="60" fillId="3" borderId="6" xfId="0" applyFont="1" applyFill="1" applyBorder="1" applyAlignment="1" applyProtection="1">
      <alignment vertical="center" wrapText="1"/>
      <protection locked="0"/>
    </xf>
    <xf numFmtId="0" fontId="2" fillId="0" borderId="6" xfId="0" applyFont="1" applyBorder="1" applyAlignment="1" applyProtection="1">
      <alignment horizontal="center" wrapText="1"/>
    </xf>
    <xf numFmtId="0" fontId="36" fillId="0" borderId="6"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44" fontId="60" fillId="0" borderId="6" xfId="3" applyFont="1" applyFill="1" applyBorder="1" applyAlignment="1" applyProtection="1">
      <alignment vertical="center" wrapText="1"/>
    </xf>
    <xf numFmtId="0" fontId="0" fillId="0" borderId="0" xfId="0" applyProtection="1"/>
    <xf numFmtId="0" fontId="38" fillId="0" borderId="6" xfId="2" applyFont="1" applyFill="1" applyBorder="1" applyAlignment="1" applyProtection="1">
      <alignment horizontal="center"/>
    </xf>
    <xf numFmtId="6" fontId="24" fillId="0" borderId="6" xfId="0" applyNumberFormat="1" applyFont="1" applyFill="1" applyBorder="1" applyAlignment="1" applyProtection="1">
      <alignment horizontal="center"/>
    </xf>
    <xf numFmtId="0" fontId="38" fillId="0" borderId="6" xfId="2" applyFont="1" applyBorder="1" applyAlignment="1" applyProtection="1">
      <alignment horizontal="center"/>
    </xf>
    <xf numFmtId="0" fontId="15" fillId="0" borderId="6" xfId="2" applyBorder="1" applyAlignment="1" applyProtection="1">
      <alignment horizontal="center"/>
    </xf>
    <xf numFmtId="0" fontId="0" fillId="0" borderId="6" xfId="0" applyBorder="1" applyProtection="1"/>
    <xf numFmtId="0" fontId="15" fillId="0" borderId="6" xfId="2" applyBorder="1" applyAlignment="1" applyProtection="1">
      <alignment horizontal="center" vertical="center"/>
    </xf>
    <xf numFmtId="6" fontId="24" fillId="0" borderId="6" xfId="0" applyNumberFormat="1" applyFont="1" applyFill="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60" fillId="3" borderId="6"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xf>
    <xf numFmtId="2" fontId="20" fillId="0" borderId="15" xfId="0" quotePrefix="1" applyNumberFormat="1" applyFont="1" applyFill="1" applyBorder="1" applyAlignment="1" applyProtection="1">
      <alignment horizontal="center" vertical="center"/>
    </xf>
    <xf numFmtId="0" fontId="20" fillId="0" borderId="6" xfId="0" applyFont="1" applyFill="1" applyBorder="1" applyAlignment="1" applyProtection="1">
      <alignment horizontal="center" vertical="center" wrapText="1"/>
    </xf>
    <xf numFmtId="0" fontId="20" fillId="0" borderId="6" xfId="0" quotePrefix="1" applyFont="1" applyBorder="1" applyAlignment="1" applyProtection="1">
      <alignment horizontal="center" vertical="center" wrapText="1"/>
    </xf>
    <xf numFmtId="0" fontId="20" fillId="0" borderId="22" xfId="0" quotePrefix="1" applyFont="1" applyBorder="1" applyAlignment="1" applyProtection="1">
      <alignment horizontal="center" vertical="center" wrapText="1"/>
    </xf>
    <xf numFmtId="6" fontId="20" fillId="0" borderId="16" xfId="3" applyNumberFormat="1" applyFont="1" applyFill="1" applyBorder="1" applyAlignment="1" applyProtection="1">
      <alignment horizontal="center" vertical="center"/>
    </xf>
    <xf numFmtId="6" fontId="20" fillId="0" borderId="14" xfId="3" applyNumberFormat="1" applyFont="1" applyFill="1" applyBorder="1" applyAlignment="1" applyProtection="1">
      <alignment horizontal="center" vertical="center" wrapText="1"/>
    </xf>
    <xf numFmtId="6" fontId="20" fillId="0" borderId="14" xfId="3" applyNumberFormat="1" applyFont="1" applyBorder="1" applyAlignment="1" applyProtection="1">
      <alignment horizontal="center" vertical="center" wrapText="1"/>
    </xf>
    <xf numFmtId="6" fontId="20" fillId="0" borderId="23" xfId="3" applyNumberFormat="1" applyFont="1" applyBorder="1" applyAlignment="1" applyProtection="1">
      <alignment horizontal="center" vertical="center" wrapText="1"/>
    </xf>
    <xf numFmtId="0" fontId="21" fillId="0" borderId="11" xfId="0" applyFont="1" applyBorder="1" applyAlignment="1" applyProtection="1">
      <alignment vertical="center"/>
    </xf>
    <xf numFmtId="0" fontId="0" fillId="0" borderId="6" xfId="0" applyBorder="1"/>
    <xf numFmtId="0" fontId="19" fillId="0" borderId="6" xfId="0" applyFont="1" applyBorder="1" applyAlignment="1" applyProtection="1">
      <alignment vertical="center"/>
    </xf>
    <xf numFmtId="0" fontId="2" fillId="0" borderId="6" xfId="0" applyFont="1" applyBorder="1"/>
    <xf numFmtId="0" fontId="0" fillId="0" borderId="6" xfId="0" applyBorder="1" applyAlignment="1">
      <alignment horizontal="center"/>
    </xf>
    <xf numFmtId="43" fontId="0" fillId="0" borderId="6" xfId="4" applyFont="1" applyBorder="1" applyAlignment="1">
      <alignment horizontal="center" vertical="center"/>
    </xf>
    <xf numFmtId="0" fontId="11" fillId="5" borderId="6" xfId="0" applyNumberFormat="1"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26" fillId="0" borderId="6" xfId="0" applyFont="1" applyBorder="1" applyAlignment="1">
      <alignment horizontal="center" vertical="center" wrapText="1"/>
    </xf>
    <xf numFmtId="44" fontId="23" fillId="3" borderId="6" xfId="0" applyNumberFormat="1" applyFont="1" applyFill="1" applyBorder="1" applyAlignment="1" applyProtection="1">
      <alignment horizontal="center" vertical="center" wrapText="1"/>
      <protection locked="0"/>
    </xf>
    <xf numFmtId="0" fontId="11" fillId="0" borderId="0" xfId="0" applyFont="1" applyAlignment="1">
      <alignment horizontal="right" vertical="center" wrapText="1"/>
    </xf>
    <xf numFmtId="0" fontId="11" fillId="0" borderId="0" xfId="0" applyFont="1" applyAlignment="1">
      <alignment horizontal="right" vertical="center"/>
    </xf>
    <xf numFmtId="167" fontId="65" fillId="3" borderId="13" xfId="0" applyNumberFormat="1" applyFont="1" applyFill="1" applyBorder="1" applyAlignment="1">
      <alignment horizontal="center" vertical="center" wrapText="1"/>
    </xf>
    <xf numFmtId="168" fontId="65" fillId="3" borderId="12" xfId="0" applyNumberFormat="1" applyFont="1" applyFill="1" applyBorder="1" applyAlignment="1">
      <alignment horizontal="center" vertical="center" wrapText="1"/>
    </xf>
    <xf numFmtId="0" fontId="19" fillId="2" borderId="0" xfId="0" applyFont="1" applyFill="1"/>
    <xf numFmtId="0" fontId="52" fillId="0" borderId="0" xfId="5" applyFont="1"/>
    <xf numFmtId="169" fontId="19" fillId="14" borderId="6" xfId="6" applyNumberFormat="1" applyFont="1" applyFill="1" applyBorder="1" applyProtection="1"/>
    <xf numFmtId="0" fontId="52" fillId="14" borderId="0" xfId="5" applyFont="1" applyFill="1"/>
    <xf numFmtId="169" fontId="26" fillId="14" borderId="6" xfId="6" applyNumberFormat="1" applyFont="1" applyFill="1" applyBorder="1" applyProtection="1"/>
    <xf numFmtId="169" fontId="19" fillId="0" borderId="6" xfId="6" applyNumberFormat="1" applyFont="1" applyFill="1" applyBorder="1" applyProtection="1"/>
    <xf numFmtId="169" fontId="26" fillId="0" borderId="6" xfId="6" applyNumberFormat="1" applyFont="1" applyFill="1" applyBorder="1" applyProtection="1"/>
    <xf numFmtId="0" fontId="26" fillId="0" borderId="0" xfId="5" applyFont="1"/>
    <xf numFmtId="44" fontId="0" fillId="0" borderId="0" xfId="3" applyFont="1"/>
    <xf numFmtId="0" fontId="26" fillId="0" borderId="6" xfId="0" applyFont="1" applyFill="1" applyBorder="1" applyAlignment="1">
      <alignment horizontal="center" vertical="center" wrapText="1"/>
    </xf>
    <xf numFmtId="0" fontId="34" fillId="0" borderId="11" xfId="0" applyFont="1" applyFill="1" applyBorder="1" applyAlignment="1" applyProtection="1">
      <alignment horizontal="center" wrapText="1"/>
    </xf>
    <xf numFmtId="0" fontId="37" fillId="0" borderId="69" xfId="0" applyFont="1" applyBorder="1" applyAlignment="1" applyProtection="1">
      <alignment horizontal="center" vertical="center" wrapText="1"/>
    </xf>
    <xf numFmtId="164" fontId="37" fillId="0" borderId="51" xfId="0" applyNumberFormat="1" applyFont="1" applyBorder="1" applyAlignment="1" applyProtection="1">
      <alignment horizontal="center" vertical="center" wrapText="1"/>
    </xf>
    <xf numFmtId="0" fontId="34" fillId="0" borderId="6" xfId="0" applyFont="1" applyFill="1" applyBorder="1" applyAlignment="1" applyProtection="1">
      <alignment horizontal="center" wrapText="1"/>
    </xf>
    <xf numFmtId="6" fontId="24" fillId="0" borderId="6" xfId="0" applyNumberFormat="1" applyFont="1" applyFill="1" applyBorder="1" applyAlignment="1" applyProtection="1">
      <alignment horizontal="center" wrapText="1"/>
    </xf>
    <xf numFmtId="0" fontId="24" fillId="0" borderId="6" xfId="0" applyNumberFormat="1" applyFont="1" applyFill="1" applyBorder="1" applyAlignment="1" applyProtection="1">
      <alignment horizontal="center" wrapText="1"/>
    </xf>
    <xf numFmtId="9" fontId="0" fillId="0" borderId="0" xfId="0" applyNumberFormat="1" applyFont="1" applyProtection="1"/>
    <xf numFmtId="0" fontId="24" fillId="0" borderId="13" xfId="0" applyNumberFormat="1" applyFont="1" applyBorder="1" applyAlignment="1" applyProtection="1">
      <alignment horizontal="center" vertical="center" wrapText="1"/>
    </xf>
    <xf numFmtId="164" fontId="37" fillId="0" borderId="51" xfId="0" applyNumberFormat="1" applyFont="1" applyBorder="1" applyAlignment="1" applyProtection="1">
      <alignment horizontal="center" vertical="center"/>
    </xf>
    <xf numFmtId="164" fontId="37" fillId="0" borderId="58" xfId="0" applyNumberFormat="1" applyFont="1" applyBorder="1" applyAlignment="1" applyProtection="1">
      <alignment horizontal="center" vertical="center" wrapText="1"/>
    </xf>
    <xf numFmtId="164" fontId="37" fillId="0" borderId="46" xfId="0" applyNumberFormat="1" applyFont="1" applyBorder="1" applyAlignment="1" applyProtection="1">
      <alignment horizontal="center" vertical="center" wrapText="1"/>
    </xf>
    <xf numFmtId="0" fontId="0" fillId="0" borderId="6" xfId="0" applyFont="1" applyBorder="1" applyAlignment="1" applyProtection="1">
      <alignment vertical="center" wrapText="1"/>
    </xf>
    <xf numFmtId="0" fontId="37" fillId="0" borderId="0" xfId="0" applyFont="1" applyBorder="1" applyAlignment="1" applyProtection="1">
      <alignment horizontal="center" vertical="center" wrapText="1"/>
    </xf>
    <xf numFmtId="164" fontId="37" fillId="0" borderId="0" xfId="0" applyNumberFormat="1" applyFont="1" applyBorder="1" applyAlignment="1" applyProtection="1">
      <alignment horizontal="center" vertical="center" wrapText="1"/>
    </xf>
    <xf numFmtId="164" fontId="37" fillId="0" borderId="0" xfId="0" applyNumberFormat="1" applyFont="1" applyBorder="1" applyAlignment="1" applyProtection="1">
      <alignment horizontal="center" vertical="center"/>
    </xf>
    <xf numFmtId="0" fontId="57" fillId="0" borderId="6" xfId="0" applyFont="1" applyFill="1" applyBorder="1" applyAlignment="1" applyProtection="1">
      <alignment horizontal="center" vertical="center" wrapText="1"/>
    </xf>
    <xf numFmtId="0" fontId="24" fillId="8" borderId="6" xfId="0" applyFont="1" applyFill="1" applyBorder="1" applyAlignment="1" applyProtection="1">
      <alignment horizontal="center" wrapText="1"/>
    </xf>
    <xf numFmtId="0" fontId="60" fillId="0" borderId="6" xfId="0" applyFont="1" applyFill="1" applyBorder="1" applyAlignment="1" applyProtection="1">
      <alignment horizontal="center" vertical="center" wrapText="1"/>
    </xf>
    <xf numFmtId="165" fontId="24" fillId="0" borderId="6" xfId="0" applyNumberFormat="1" applyFont="1" applyBorder="1" applyAlignment="1" applyProtection="1">
      <alignment horizontal="center" vertical="center"/>
      <protection hidden="1"/>
    </xf>
    <xf numFmtId="166" fontId="24" fillId="0" borderId="6" xfId="0" applyNumberFormat="1" applyFont="1" applyBorder="1" applyAlignment="1" applyProtection="1">
      <alignment horizontal="center" vertical="center"/>
      <protection hidden="1"/>
    </xf>
    <xf numFmtId="44" fontId="24" fillId="0" borderId="6" xfId="0" applyNumberFormat="1" applyFont="1" applyBorder="1" applyAlignment="1" applyProtection="1">
      <alignment horizontal="center" vertical="center" wrapText="1"/>
      <protection hidden="1"/>
    </xf>
    <xf numFmtId="0" fontId="0" fillId="0" borderId="0" xfId="0" applyProtection="1">
      <protection hidden="1"/>
    </xf>
    <xf numFmtId="170" fontId="24" fillId="15" borderId="6" xfId="0" applyNumberFormat="1" applyFont="1" applyFill="1" applyBorder="1" applyAlignment="1" applyProtection="1">
      <alignment horizontal="center" vertical="center"/>
      <protection hidden="1"/>
    </xf>
    <xf numFmtId="170" fontId="24" fillId="16" borderId="6" xfId="0" applyNumberFormat="1" applyFont="1" applyFill="1" applyBorder="1" applyAlignment="1" applyProtection="1">
      <alignment horizontal="center" vertical="center"/>
      <protection hidden="1"/>
    </xf>
    <xf numFmtId="44" fontId="23" fillId="5" borderId="6" xfId="0" applyNumberFormat="1" applyFont="1" applyFill="1" applyBorder="1" applyAlignment="1" applyProtection="1">
      <alignment horizontal="center" vertical="center" wrapText="1"/>
      <protection hidden="1"/>
    </xf>
    <xf numFmtId="44" fontId="28" fillId="9" borderId="6" xfId="0" applyNumberFormat="1" applyFont="1" applyFill="1" applyBorder="1" applyAlignment="1" applyProtection="1">
      <alignment horizontal="center" vertical="center" wrapText="1"/>
      <protection hidden="1"/>
    </xf>
    <xf numFmtId="44" fontId="34" fillId="8" borderId="6" xfId="0" applyNumberFormat="1" applyFont="1" applyFill="1" applyBorder="1" applyAlignment="1" applyProtection="1">
      <alignment horizontal="center" wrapText="1"/>
      <protection hidden="1"/>
    </xf>
    <xf numFmtId="44" fontId="34" fillId="0" borderId="6" xfId="0" applyNumberFormat="1" applyFont="1" applyFill="1" applyBorder="1" applyAlignment="1" applyProtection="1">
      <alignment horizontal="center" wrapText="1"/>
      <protection hidden="1"/>
    </xf>
    <xf numFmtId="44" fontId="24" fillId="5" borderId="6" xfId="0" applyNumberFormat="1" applyFont="1" applyFill="1" applyBorder="1" applyAlignment="1" applyProtection="1">
      <alignment horizontal="center" vertical="center" wrapText="1"/>
      <protection hidden="1"/>
    </xf>
    <xf numFmtId="44" fontId="24" fillId="0" borderId="6" xfId="3" applyFont="1" applyFill="1" applyBorder="1" applyAlignment="1" applyProtection="1">
      <alignment horizontal="center" vertical="center" wrapText="1"/>
      <protection hidden="1"/>
    </xf>
    <xf numFmtId="6" fontId="34" fillId="8" borderId="6" xfId="0" applyNumberFormat="1" applyFont="1" applyFill="1" applyBorder="1" applyAlignment="1" applyProtection="1">
      <alignment horizontal="center" wrapText="1"/>
      <protection hidden="1"/>
    </xf>
    <xf numFmtId="0" fontId="34" fillId="8" borderId="6" xfId="0" applyNumberFormat="1" applyFont="1" applyFill="1" applyBorder="1" applyAlignment="1" applyProtection="1">
      <alignment horizontal="center" vertical="center" wrapText="1"/>
      <protection hidden="1"/>
    </xf>
    <xf numFmtId="6" fontId="24" fillId="0" borderId="13" xfId="0" applyNumberFormat="1" applyFont="1" applyBorder="1" applyAlignment="1" applyProtection="1">
      <alignment horizontal="center" vertical="center" wrapText="1"/>
      <protection hidden="1"/>
    </xf>
    <xf numFmtId="44" fontId="53" fillId="8" borderId="6" xfId="0" applyNumberFormat="1" applyFont="1" applyFill="1" applyBorder="1" applyAlignment="1" applyProtection="1">
      <alignment horizontal="center" vertical="center" wrapText="1"/>
      <protection hidden="1"/>
    </xf>
    <xf numFmtId="44" fontId="53" fillId="0" borderId="6" xfId="0" applyNumberFormat="1" applyFont="1" applyFill="1" applyBorder="1" applyAlignment="1" applyProtection="1">
      <alignment horizontal="center" vertical="center" wrapText="1"/>
      <protection hidden="1"/>
    </xf>
    <xf numFmtId="44" fontId="54" fillId="9" borderId="6" xfId="3" applyNumberFormat="1" applyFont="1" applyFill="1" applyBorder="1" applyAlignment="1" applyProtection="1">
      <alignment horizontal="center" vertical="center" wrapText="1"/>
      <protection hidden="1"/>
    </xf>
    <xf numFmtId="44" fontId="24" fillId="8" borderId="6" xfId="0" applyNumberFormat="1" applyFont="1" applyFill="1" applyBorder="1" applyAlignment="1" applyProtection="1">
      <alignment horizontal="center" vertical="center" wrapText="1"/>
      <protection hidden="1"/>
    </xf>
    <xf numFmtId="44" fontId="34" fillId="5" borderId="6" xfId="3" applyNumberFormat="1" applyFont="1" applyFill="1" applyBorder="1" applyAlignment="1" applyProtection="1">
      <alignment horizontal="center" vertical="center" wrapText="1"/>
      <protection hidden="1"/>
    </xf>
    <xf numFmtId="44" fontId="34" fillId="0" borderId="6" xfId="3" applyNumberFormat="1" applyFont="1" applyFill="1" applyBorder="1" applyAlignment="1" applyProtection="1">
      <alignment horizontal="center" vertical="center" wrapText="1"/>
      <protection hidden="1"/>
    </xf>
    <xf numFmtId="44" fontId="60" fillId="0" borderId="6" xfId="0" applyNumberFormat="1" applyFont="1" applyFill="1" applyBorder="1" applyAlignment="1" applyProtection="1">
      <alignment horizontal="center" vertical="center" wrapText="1"/>
      <protection hidden="1"/>
    </xf>
    <xf numFmtId="44" fontId="28" fillId="9" borderId="68" xfId="0" applyNumberFormat="1" applyFont="1" applyFill="1" applyBorder="1" applyAlignment="1" applyProtection="1">
      <alignment wrapText="1"/>
      <protection hidden="1"/>
    </xf>
    <xf numFmtId="44" fontId="28" fillId="9" borderId="63" xfId="0" applyNumberFormat="1" applyFont="1" applyFill="1" applyBorder="1" applyAlignment="1" applyProtection="1">
      <alignment horizontal="center" wrapText="1"/>
      <protection hidden="1"/>
    </xf>
    <xf numFmtId="0" fontId="37" fillId="0" borderId="71" xfId="0" applyFont="1" applyBorder="1" applyAlignment="1" applyProtection="1">
      <alignment horizontal="center" vertical="center" wrapText="1"/>
    </xf>
    <xf numFmtId="0" fontId="37" fillId="0" borderId="69" xfId="0" applyFont="1" applyBorder="1" applyAlignment="1" applyProtection="1">
      <alignment horizontal="center" vertical="center" wrapText="1"/>
    </xf>
    <xf numFmtId="0" fontId="29" fillId="13" borderId="7" xfId="0" applyFont="1" applyFill="1" applyBorder="1" applyAlignment="1" applyProtection="1">
      <alignment horizontal="center" vertical="center"/>
    </xf>
    <xf numFmtId="0" fontId="29" fillId="13" borderId="8" xfId="0" applyFont="1" applyFill="1" applyBorder="1" applyAlignment="1" applyProtection="1">
      <alignment horizontal="center" vertical="center"/>
    </xf>
    <xf numFmtId="0" fontId="29" fillId="13" borderId="9" xfId="0" applyFont="1" applyFill="1" applyBorder="1" applyAlignment="1" applyProtection="1">
      <alignment horizontal="center" vertical="center"/>
    </xf>
    <xf numFmtId="0" fontId="37" fillId="0" borderId="10"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0" xfId="0" applyFont="1" applyAlignment="1" applyProtection="1">
      <alignment horizontal="left" vertical="center" wrapText="1"/>
    </xf>
    <xf numFmtId="0" fontId="37" fillId="5" borderId="12" xfId="0" applyFont="1" applyFill="1" applyBorder="1" applyAlignment="1" applyProtection="1">
      <alignment horizontal="center" vertical="center" wrapText="1"/>
    </xf>
    <xf numFmtId="0" fontId="37" fillId="5" borderId="14" xfId="0" applyFont="1" applyFill="1" applyBorder="1" applyAlignment="1" applyProtection="1">
      <alignment horizontal="center" vertical="center" wrapText="1"/>
    </xf>
    <xf numFmtId="0" fontId="37" fillId="0" borderId="70" xfId="0" applyFont="1" applyBorder="1" applyAlignment="1" applyProtection="1">
      <alignment horizontal="center" vertical="center" wrapText="1"/>
    </xf>
    <xf numFmtId="0" fontId="37" fillId="0" borderId="56" xfId="0" applyFont="1" applyBorder="1" applyAlignment="1" applyProtection="1">
      <alignment horizontal="center" vertical="center" wrapText="1"/>
    </xf>
    <xf numFmtId="0" fontId="37" fillId="8" borderId="7" xfId="0" applyFont="1" applyFill="1" applyBorder="1" applyAlignment="1" applyProtection="1">
      <alignment horizontal="center" vertical="center" wrapText="1"/>
    </xf>
    <xf numFmtId="0" fontId="37" fillId="8" borderId="8" xfId="0" applyFont="1" applyFill="1" applyBorder="1" applyAlignment="1" applyProtection="1">
      <alignment horizontal="center" vertical="center" wrapText="1"/>
    </xf>
    <xf numFmtId="0" fontId="37" fillId="8" borderId="9" xfId="0" applyFont="1" applyFill="1" applyBorder="1" applyAlignment="1" applyProtection="1">
      <alignment horizontal="center" vertical="center" wrapText="1"/>
    </xf>
    <xf numFmtId="0" fontId="37" fillId="8" borderId="10" xfId="0" applyFont="1" applyFill="1" applyBorder="1" applyAlignment="1" applyProtection="1">
      <alignment horizontal="center" vertical="center" wrapText="1"/>
    </xf>
    <xf numFmtId="0" fontId="37" fillId="8" borderId="12" xfId="0" applyFont="1" applyFill="1" applyBorder="1" applyAlignment="1" applyProtection="1">
      <alignment horizontal="center" vertical="center" wrapText="1"/>
    </xf>
    <xf numFmtId="0" fontId="37" fillId="8" borderId="14" xfId="0" applyFont="1" applyFill="1" applyBorder="1" applyAlignment="1" applyProtection="1">
      <alignment horizontal="center" vertical="center" wrapText="1"/>
    </xf>
    <xf numFmtId="0" fontId="12" fillId="7" borderId="6" xfId="0" applyFont="1" applyFill="1" applyBorder="1" applyAlignment="1" applyProtection="1">
      <alignment horizontal="right" vertical="center" wrapText="1"/>
    </xf>
    <xf numFmtId="0" fontId="12" fillId="4" borderId="0" xfId="0" applyFont="1" applyFill="1" applyBorder="1" applyAlignment="1" applyProtection="1">
      <alignment horizontal="left" vertical="center" wrapText="1"/>
    </xf>
    <xf numFmtId="0" fontId="12" fillId="4" borderId="56" xfId="0" applyFont="1" applyFill="1" applyBorder="1" applyAlignment="1" applyProtection="1">
      <alignment horizontal="left" vertical="center" wrapText="1"/>
    </xf>
    <xf numFmtId="0" fontId="0" fillId="0" borderId="0" xfId="0" applyFont="1" applyAlignment="1" applyProtection="1">
      <alignment horizontal="left" vertical="center" wrapText="1"/>
    </xf>
    <xf numFmtId="8" fontId="2" fillId="0" borderId="6" xfId="0" applyNumberFormat="1" applyFont="1" applyBorder="1" applyAlignment="1" applyProtection="1">
      <alignment horizontal="center" vertical="center" wrapText="1"/>
    </xf>
    <xf numFmtId="0" fontId="62" fillId="6" borderId="24" xfId="0" applyFont="1" applyFill="1" applyBorder="1" applyAlignment="1" applyProtection="1">
      <alignment horizontal="center" vertical="center" wrapText="1"/>
    </xf>
    <xf numFmtId="0" fontId="62" fillId="6" borderId="32" xfId="0" applyFont="1" applyFill="1" applyBorder="1" applyAlignment="1" applyProtection="1">
      <alignment horizontal="center" vertical="center" wrapText="1"/>
    </xf>
    <xf numFmtId="0" fontId="62" fillId="6" borderId="30" xfId="0" applyFont="1" applyFill="1" applyBorder="1" applyAlignment="1" applyProtection="1">
      <alignment horizontal="center" vertical="center" wrapText="1"/>
    </xf>
    <xf numFmtId="0" fontId="62" fillId="6" borderId="31" xfId="0" applyFont="1" applyFill="1" applyBorder="1" applyAlignment="1" applyProtection="1">
      <alignment horizontal="center" vertical="center" wrapText="1"/>
    </xf>
    <xf numFmtId="0" fontId="15" fillId="0" borderId="24" xfId="2" applyBorder="1" applyAlignment="1" applyProtection="1">
      <alignment horizontal="center"/>
    </xf>
    <xf numFmtId="0" fontId="15" fillId="0" borderId="46" xfId="2" applyBorder="1" applyAlignment="1" applyProtection="1">
      <alignment horizontal="center"/>
    </xf>
    <xf numFmtId="0" fontId="15" fillId="0" borderId="32" xfId="2" applyBorder="1" applyAlignment="1" applyProtection="1">
      <alignment horizontal="center"/>
    </xf>
    <xf numFmtId="0" fontId="15" fillId="0" borderId="30" xfId="2" applyBorder="1" applyAlignment="1" applyProtection="1">
      <alignment horizontal="center"/>
    </xf>
    <xf numFmtId="0" fontId="15" fillId="0" borderId="4" xfId="2" applyBorder="1" applyAlignment="1" applyProtection="1">
      <alignment horizontal="center"/>
    </xf>
    <xf numFmtId="0" fontId="15" fillId="0" borderId="31" xfId="2" applyBorder="1" applyAlignment="1" applyProtection="1">
      <alignment horizontal="center"/>
    </xf>
    <xf numFmtId="44" fontId="15" fillId="0" borderId="15" xfId="2" applyNumberFormat="1" applyFill="1" applyBorder="1" applyAlignment="1" applyProtection="1">
      <alignment horizontal="center" vertical="center" shrinkToFit="1"/>
    </xf>
    <xf numFmtId="44" fontId="15" fillId="0" borderId="29" xfId="2" applyNumberFormat="1" applyFill="1" applyBorder="1" applyAlignment="1" applyProtection="1">
      <alignment horizontal="center" vertical="center" shrinkToFit="1"/>
    </xf>
    <xf numFmtId="0" fontId="0" fillId="0" borderId="6" xfId="0" applyFont="1" applyBorder="1" applyAlignment="1" applyProtection="1">
      <alignment horizontal="center" vertical="center" wrapText="1"/>
    </xf>
    <xf numFmtId="2" fontId="0" fillId="0" borderId="6" xfId="0" applyNumberFormat="1" applyFont="1" applyBorder="1" applyAlignment="1" applyProtection="1">
      <alignment horizontal="center" vertical="center" wrapText="1"/>
    </xf>
    <xf numFmtId="0" fontId="62" fillId="6" borderId="6" xfId="0" applyFont="1" applyFill="1" applyBorder="1" applyAlignment="1" applyProtection="1">
      <alignment horizontal="center" vertical="center" wrapText="1"/>
    </xf>
    <xf numFmtId="0" fontId="0" fillId="0" borderId="0" xfId="0" applyFont="1" applyAlignment="1" applyProtection="1">
      <alignment horizontal="left" wrapText="1"/>
    </xf>
    <xf numFmtId="0" fontId="2" fillId="0" borderId="6" xfId="0" applyFont="1" applyBorder="1" applyAlignment="1" applyProtection="1">
      <alignment horizontal="center" vertical="center" wrapText="1"/>
    </xf>
    <xf numFmtId="0" fontId="36" fillId="0" borderId="27" xfId="0" applyFont="1" applyFill="1" applyBorder="1" applyAlignment="1" applyProtection="1">
      <alignment horizontal="center" vertical="center"/>
    </xf>
    <xf numFmtId="0" fontId="36" fillId="0" borderId="26"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2" fillId="5" borderId="8"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6" fontId="2" fillId="0" borderId="24" xfId="0" applyNumberFormat="1" applyFont="1" applyBorder="1" applyAlignment="1" applyProtection="1">
      <alignment horizontal="center" vertical="center"/>
    </xf>
    <xf numFmtId="6" fontId="2" fillId="0" borderId="46" xfId="0" applyNumberFormat="1" applyFont="1" applyBorder="1" applyAlignment="1" applyProtection="1">
      <alignment horizontal="center" vertical="center"/>
    </xf>
    <xf numFmtId="6" fontId="2" fillId="0" borderId="16" xfId="0" applyNumberFormat="1" applyFont="1" applyBorder="1" applyAlignment="1" applyProtection="1">
      <alignment horizontal="center" vertical="center"/>
    </xf>
    <xf numFmtId="6" fontId="2" fillId="0" borderId="43" xfId="0" applyNumberFormat="1" applyFont="1" applyBorder="1" applyAlignment="1" applyProtection="1">
      <alignment horizontal="center" vertical="center"/>
    </xf>
    <xf numFmtId="6" fontId="2" fillId="0" borderId="0" xfId="0" applyNumberFormat="1" applyFont="1" applyBorder="1" applyAlignment="1" applyProtection="1">
      <alignment horizontal="center" vertical="center"/>
    </xf>
    <xf numFmtId="6" fontId="2" fillId="0" borderId="65" xfId="0" applyNumberFormat="1" applyFont="1" applyBorder="1" applyAlignment="1" applyProtection="1">
      <alignment horizontal="center" vertical="center"/>
    </xf>
    <xf numFmtId="6" fontId="2" fillId="0" borderId="41" xfId="0" applyNumberFormat="1" applyFont="1" applyBorder="1" applyAlignment="1" applyProtection="1">
      <alignment horizontal="center" vertical="center"/>
    </xf>
    <xf numFmtId="6" fontId="2" fillId="0" borderId="53" xfId="0" applyNumberFormat="1" applyFont="1" applyBorder="1" applyAlignment="1" applyProtection="1">
      <alignment horizontal="center" vertical="center"/>
    </xf>
    <xf numFmtId="6" fontId="2" fillId="0" borderId="23" xfId="0" applyNumberFormat="1"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0" xfId="0" applyFont="1" applyBorder="1" applyAlignment="1" applyProtection="1">
      <alignment horizontal="left" wrapText="1"/>
    </xf>
    <xf numFmtId="0" fontId="2" fillId="0" borderId="0" xfId="0" applyFont="1" applyAlignment="1" applyProtection="1">
      <alignment horizontal="left" vertical="center"/>
    </xf>
    <xf numFmtId="0" fontId="2" fillId="0" borderId="0" xfId="0" applyFont="1" applyBorder="1" applyAlignment="1" applyProtection="1">
      <alignment horizontal="left" vertical="center" wrapText="1"/>
    </xf>
    <xf numFmtId="0" fontId="29" fillId="0" borderId="27"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0" fontId="29" fillId="0" borderId="28" xfId="0" applyFont="1" applyFill="1" applyBorder="1" applyAlignment="1" applyProtection="1">
      <alignment horizontal="center" vertical="center"/>
    </xf>
    <xf numFmtId="0" fontId="37" fillId="8" borderId="37" xfId="0" applyFont="1" applyFill="1" applyBorder="1" applyAlignment="1" applyProtection="1">
      <alignment horizontal="center" vertical="center" wrapText="1"/>
    </xf>
    <xf numFmtId="0" fontId="37" fillId="8" borderId="4" xfId="0" applyFont="1" applyFill="1" applyBorder="1" applyAlignment="1" applyProtection="1">
      <alignment horizontal="center" vertical="center" wrapText="1"/>
    </xf>
    <xf numFmtId="0" fontId="37" fillId="8" borderId="40" xfId="0" applyFont="1" applyFill="1" applyBorder="1" applyAlignment="1" applyProtection="1">
      <alignment horizontal="center" vertical="center" wrapText="1"/>
    </xf>
    <xf numFmtId="0" fontId="37" fillId="0" borderId="10" xfId="0" applyFont="1" applyBorder="1" applyAlignment="1" applyProtection="1">
      <alignment horizontal="left" vertical="center" wrapText="1"/>
    </xf>
    <xf numFmtId="0" fontId="37" fillId="0" borderId="12" xfId="0" applyFont="1" applyBorder="1" applyAlignment="1" applyProtection="1">
      <alignment horizontal="left" vertical="center" wrapText="1"/>
    </xf>
    <xf numFmtId="0" fontId="37" fillId="0" borderId="14" xfId="0" applyFont="1" applyBorder="1" applyAlignment="1" applyProtection="1">
      <alignment horizontal="left" vertical="center" wrapText="1"/>
    </xf>
    <xf numFmtId="0" fontId="37" fillId="0" borderId="12" xfId="0" applyFont="1" applyBorder="1" applyAlignment="1" applyProtection="1">
      <alignment horizontal="center" vertical="center" wrapText="1"/>
    </xf>
    <xf numFmtId="0" fontId="37" fillId="0" borderId="17" xfId="0" applyFont="1" applyBorder="1" applyAlignment="1" applyProtection="1">
      <alignment horizontal="center" vertical="center" wrapText="1"/>
    </xf>
    <xf numFmtId="0" fontId="37" fillId="0" borderId="20" xfId="0" applyFont="1" applyBorder="1" applyAlignment="1" applyProtection="1">
      <alignment horizontal="center" vertical="center" wrapText="1"/>
    </xf>
    <xf numFmtId="0" fontId="37" fillId="8" borderId="24" xfId="0" applyFont="1" applyFill="1" applyBorder="1" applyAlignment="1" applyProtection="1">
      <alignment horizontal="center" vertical="center" wrapText="1"/>
    </xf>
    <xf numFmtId="0" fontId="37" fillId="8" borderId="16" xfId="0" applyFont="1" applyFill="1" applyBorder="1" applyAlignment="1" applyProtection="1">
      <alignment horizontal="center" vertical="center" wrapText="1"/>
    </xf>
    <xf numFmtId="164" fontId="37" fillId="0" borderId="6" xfId="0" applyNumberFormat="1" applyFont="1" applyBorder="1" applyAlignment="1" applyProtection="1">
      <alignment horizontal="center" vertical="top" wrapText="1"/>
    </xf>
    <xf numFmtId="164" fontId="37" fillId="0" borderId="45" xfId="0" applyNumberFormat="1" applyFont="1" applyBorder="1" applyAlignment="1" applyProtection="1">
      <alignment horizontal="center" vertical="top" wrapText="1"/>
    </xf>
    <xf numFmtId="164" fontId="37" fillId="0" borderId="18" xfId="0" applyNumberFormat="1" applyFont="1" applyBorder="1" applyAlignment="1" applyProtection="1">
      <alignment horizontal="center" vertical="top" wrapText="1"/>
    </xf>
    <xf numFmtId="164" fontId="37" fillId="0" borderId="58" xfId="0" applyNumberFormat="1" applyFont="1" applyBorder="1" applyAlignment="1" applyProtection="1">
      <alignment horizontal="center" vertical="top" wrapText="1"/>
    </xf>
    <xf numFmtId="0" fontId="51"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0" xfId="0" applyFont="1" applyAlignment="1" applyProtection="1">
      <alignment vertical="center" wrapText="1"/>
    </xf>
    <xf numFmtId="0" fontId="49" fillId="0" borderId="10" xfId="0" applyFont="1" applyBorder="1" applyAlignment="1" applyProtection="1">
      <alignment horizontal="center" vertical="center" wrapText="1"/>
    </xf>
    <xf numFmtId="0" fontId="49" fillId="0" borderId="13"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21" xfId="0" applyFont="1" applyBorder="1" applyAlignment="1" applyProtection="1">
      <alignment horizontal="center" vertical="center" wrapText="1"/>
    </xf>
    <xf numFmtId="0" fontId="49" fillId="0" borderId="6" xfId="0" applyFont="1" applyBorder="1" applyAlignment="1" applyProtection="1">
      <alignment horizontal="center" vertical="center" wrapText="1"/>
    </xf>
    <xf numFmtId="0" fontId="49" fillId="0" borderId="18" xfId="0" applyFont="1" applyBorder="1" applyAlignment="1" applyProtection="1">
      <alignment horizontal="center" vertical="center" wrapText="1"/>
    </xf>
    <xf numFmtId="0" fontId="23" fillId="0" borderId="15" xfId="0" applyFont="1" applyBorder="1" applyAlignment="1" applyProtection="1">
      <alignment horizontal="center" vertical="center" wrapText="1"/>
    </xf>
    <xf numFmtId="0" fontId="23" fillId="0" borderId="57"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6" fontId="23" fillId="0" borderId="51" xfId="0" applyNumberFormat="1" applyFont="1" applyBorder="1" applyAlignment="1" applyProtection="1">
      <alignment horizontal="center" vertical="center" wrapText="1"/>
    </xf>
    <xf numFmtId="6" fontId="23" fillId="0" borderId="38" xfId="0" applyNumberFormat="1" applyFont="1" applyBorder="1" applyAlignment="1" applyProtection="1">
      <alignment horizontal="center" vertical="center" wrapText="1"/>
    </xf>
    <xf numFmtId="6" fontId="23" fillId="0" borderId="25" xfId="0" applyNumberFormat="1" applyFont="1" applyBorder="1" applyAlignment="1" applyProtection="1">
      <alignment horizontal="center" vertical="center" wrapText="1"/>
    </xf>
    <xf numFmtId="0" fontId="20" fillId="5" borderId="37" xfId="0" applyFont="1" applyFill="1" applyBorder="1" applyAlignment="1" applyProtection="1">
      <alignment horizontal="center" vertical="center" wrapText="1"/>
    </xf>
    <xf numFmtId="0" fontId="20" fillId="5" borderId="31"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9" xfId="0" applyFont="1" applyFill="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33" xfId="0" applyFont="1" applyBorder="1" applyAlignment="1" applyProtection="1">
      <alignment horizontal="center" vertical="center"/>
    </xf>
    <xf numFmtId="6" fontId="20" fillId="5" borderId="30" xfId="0" applyNumberFormat="1" applyFont="1" applyFill="1" applyBorder="1" applyAlignment="1" applyProtection="1">
      <alignment horizontal="center" vertical="center"/>
    </xf>
    <xf numFmtId="6" fontId="20" fillId="5" borderId="40" xfId="0" applyNumberFormat="1" applyFont="1" applyFill="1" applyBorder="1" applyAlignment="1" applyProtection="1">
      <alignment horizontal="center" vertical="center"/>
    </xf>
    <xf numFmtId="0" fontId="36" fillId="0" borderId="7" xfId="0" applyFont="1" applyFill="1" applyBorder="1" applyAlignment="1" applyProtection="1">
      <alignment horizontal="center"/>
    </xf>
    <xf numFmtId="0" fontId="36" fillId="0" borderId="8" xfId="0" applyFont="1" applyFill="1" applyBorder="1" applyAlignment="1" applyProtection="1">
      <alignment horizontal="center"/>
    </xf>
    <xf numFmtId="0" fontId="36" fillId="0" borderId="9" xfId="0" applyFont="1" applyFill="1" applyBorder="1" applyAlignment="1" applyProtection="1">
      <alignment horizontal="center"/>
    </xf>
    <xf numFmtId="0" fontId="2" fillId="0" borderId="17" xfId="0" applyFont="1" applyBorder="1" applyAlignment="1" applyProtection="1">
      <alignment horizontal="center"/>
    </xf>
    <xf numFmtId="0" fontId="2" fillId="0" borderId="20" xfId="0" applyFont="1" applyBorder="1" applyAlignment="1" applyProtection="1">
      <alignment horizontal="center"/>
    </xf>
    <xf numFmtId="0" fontId="2" fillId="0" borderId="46" xfId="0" applyFont="1" applyBorder="1" applyAlignment="1" applyProtection="1">
      <alignment horizontal="center"/>
    </xf>
    <xf numFmtId="0" fontId="2" fillId="0" borderId="33" xfId="0" applyFont="1" applyBorder="1" applyAlignment="1" applyProtection="1">
      <alignment horizont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6" fontId="2" fillId="0" borderId="54" xfId="0" applyNumberFormat="1" applyFont="1" applyBorder="1" applyAlignment="1" applyProtection="1">
      <alignment horizontal="center" vertical="center"/>
    </xf>
    <xf numFmtId="6" fontId="2" fillId="0" borderId="39" xfId="0" applyNumberFormat="1" applyFont="1" applyBorder="1" applyAlignment="1" applyProtection="1">
      <alignment horizontal="center" vertical="center"/>
    </xf>
    <xf numFmtId="0" fontId="2" fillId="0" borderId="0" xfId="0" applyFont="1" applyAlignment="1" applyProtection="1">
      <alignment horizontal="left"/>
    </xf>
    <xf numFmtId="0" fontId="0" fillId="0" borderId="15"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0" fillId="0" borderId="48" xfId="0" applyFont="1" applyBorder="1" applyAlignment="1" applyProtection="1">
      <alignment horizontal="center" vertical="center" wrapText="1"/>
    </xf>
    <xf numFmtId="6" fontId="2" fillId="0" borderId="30" xfId="0" applyNumberFormat="1" applyFont="1" applyBorder="1" applyAlignment="1" applyProtection="1">
      <alignment horizontal="center" vertical="center"/>
    </xf>
    <xf numFmtId="6" fontId="2" fillId="0" borderId="40" xfId="0" applyNumberFormat="1" applyFont="1" applyBorder="1" applyAlignment="1" applyProtection="1">
      <alignment horizontal="center" vertical="center"/>
    </xf>
    <xf numFmtId="44" fontId="40" fillId="0" borderId="15" xfId="0" applyNumberFormat="1" applyFont="1" applyFill="1" applyBorder="1" applyAlignment="1" applyProtection="1">
      <alignment horizontal="center" vertical="center" shrinkToFit="1"/>
    </xf>
    <xf numFmtId="44" fontId="40" fillId="0" borderId="29" xfId="0" applyNumberFormat="1" applyFont="1" applyFill="1" applyBorder="1" applyAlignment="1" applyProtection="1">
      <alignment horizontal="center" vertical="center" shrinkToFit="1"/>
    </xf>
    <xf numFmtId="0" fontId="2" fillId="0" borderId="47"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36" fillId="0" borderId="7" xfId="0" applyFont="1" applyFill="1" applyBorder="1" applyAlignment="1" applyProtection="1">
      <alignment horizontal="center" vertical="center"/>
    </xf>
    <xf numFmtId="0" fontId="36" fillId="0" borderId="8" xfId="0"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33" xfId="0" applyFont="1" applyBorder="1" applyAlignment="1" applyProtection="1">
      <alignment horizontal="center" vertical="center"/>
    </xf>
    <xf numFmtId="0" fontId="0" fillId="0" borderId="35" xfId="0" applyFont="1" applyBorder="1" applyAlignment="1" applyProtection="1">
      <alignment horizontal="center" wrapText="1"/>
    </xf>
    <xf numFmtId="0" fontId="0" fillId="0" borderId="8" xfId="0" applyFont="1" applyBorder="1" applyAlignment="1" applyProtection="1">
      <alignment horizontal="center" wrapText="1"/>
    </xf>
    <xf numFmtId="0" fontId="0" fillId="0" borderId="34" xfId="0" applyFont="1" applyBorder="1" applyAlignment="1" applyProtection="1">
      <alignment horizontal="center" wrapText="1"/>
    </xf>
    <xf numFmtId="0" fontId="0" fillId="0" borderId="5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6" fontId="2" fillId="0" borderId="42" xfId="0" applyNumberFormat="1" applyFont="1" applyBorder="1" applyAlignment="1" applyProtection="1">
      <alignment horizontal="center" vertical="center"/>
    </xf>
    <xf numFmtId="0" fontId="0" fillId="0" borderId="24"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6" fontId="2" fillId="0" borderId="11" xfId="0" applyNumberFormat="1" applyFont="1" applyBorder="1" applyAlignment="1" applyProtection="1">
      <alignment horizontal="center" vertical="center"/>
    </xf>
    <xf numFmtId="6" fontId="2" fillId="0" borderId="14" xfId="0" applyNumberFormat="1" applyFont="1" applyBorder="1" applyAlignment="1" applyProtection="1">
      <alignment horizontal="center" vertical="center"/>
    </xf>
    <xf numFmtId="0" fontId="45" fillId="0" borderId="0" xfId="0" applyFont="1" applyProtection="1"/>
    <xf numFmtId="0" fontId="45" fillId="0" borderId="53" xfId="0" applyFont="1" applyBorder="1" applyProtection="1"/>
    <xf numFmtId="0" fontId="37" fillId="0" borderId="37" xfId="0" applyFont="1" applyBorder="1" applyAlignment="1" applyProtection="1">
      <alignment horizontal="center" wrapText="1"/>
    </xf>
    <xf numFmtId="0" fontId="37" fillId="0" borderId="4" xfId="0" applyFont="1" applyBorder="1" applyAlignment="1" applyProtection="1">
      <alignment horizontal="center" wrapText="1"/>
    </xf>
    <xf numFmtId="0" fontId="37" fillId="0" borderId="31" xfId="0" applyFont="1" applyBorder="1" applyAlignment="1" applyProtection="1">
      <alignment horizontal="center" wrapText="1"/>
    </xf>
    <xf numFmtId="0" fontId="37" fillId="0" borderId="17" xfId="0" applyFont="1" applyBorder="1" applyAlignment="1" applyProtection="1">
      <alignment horizontal="center" wrapText="1"/>
    </xf>
    <xf numFmtId="0" fontId="37" fillId="0" borderId="20" xfId="0" applyFont="1" applyBorder="1" applyAlignment="1" applyProtection="1">
      <alignment horizontal="center" wrapText="1"/>
    </xf>
    <xf numFmtId="0" fontId="37" fillId="0" borderId="21" xfId="0" applyFont="1" applyBorder="1" applyAlignment="1" applyProtection="1">
      <alignment horizontal="center" wrapText="1"/>
    </xf>
    <xf numFmtId="0" fontId="37" fillId="5" borderId="7" xfId="0" applyFont="1" applyFill="1" applyBorder="1" applyAlignment="1" applyProtection="1">
      <alignment horizontal="center" vertical="center" wrapText="1"/>
    </xf>
    <xf numFmtId="0" fontId="37" fillId="5" borderId="34" xfId="0" applyFont="1" applyFill="1" applyBorder="1" applyAlignment="1" applyProtection="1">
      <alignment horizontal="center" vertical="center" wrapText="1"/>
    </xf>
    <xf numFmtId="164" fontId="37" fillId="0" borderId="51" xfId="0" applyNumberFormat="1" applyFont="1" applyBorder="1" applyAlignment="1" applyProtection="1">
      <alignment horizontal="center" vertical="center" wrapText="1"/>
    </xf>
    <xf numFmtId="164" fontId="37" fillId="0" borderId="25" xfId="0" applyNumberFormat="1" applyFont="1" applyBorder="1" applyAlignment="1" applyProtection="1">
      <alignment horizontal="center" vertical="center" wrapText="1"/>
    </xf>
    <xf numFmtId="0" fontId="62" fillId="6" borderId="46" xfId="0" applyFont="1" applyFill="1" applyBorder="1" applyAlignment="1" applyProtection="1">
      <alignment horizontal="center" vertical="center" wrapText="1"/>
    </xf>
    <xf numFmtId="0" fontId="62" fillId="6" borderId="0" xfId="0" applyFont="1" applyFill="1" applyBorder="1" applyAlignment="1" applyProtection="1">
      <alignment horizontal="center" vertical="center" wrapText="1"/>
    </xf>
    <xf numFmtId="44" fontId="40" fillId="0" borderId="6" xfId="0" applyNumberFormat="1" applyFont="1" applyFill="1" applyBorder="1" applyAlignment="1" applyProtection="1">
      <alignment horizontal="center" vertical="center" shrinkToFit="1"/>
    </xf>
    <xf numFmtId="0" fontId="37" fillId="0" borderId="50" xfId="0" applyFont="1" applyBorder="1" applyAlignment="1" applyProtection="1">
      <alignment horizontal="center" vertical="center" wrapText="1"/>
    </xf>
    <xf numFmtId="0" fontId="37" fillId="0" borderId="52" xfId="0" applyFont="1" applyBorder="1" applyAlignment="1" applyProtection="1">
      <alignment horizontal="center" vertical="center" wrapText="1"/>
    </xf>
    <xf numFmtId="0" fontId="37" fillId="5" borderId="8" xfId="0" applyFont="1" applyFill="1" applyBorder="1" applyAlignment="1" applyProtection="1">
      <alignment horizontal="center" vertical="center" wrapText="1"/>
    </xf>
    <xf numFmtId="0" fontId="37" fillId="0" borderId="46" xfId="0" applyFont="1" applyBorder="1" applyAlignment="1" applyProtection="1">
      <alignment horizontal="center" vertical="center" wrapText="1"/>
    </xf>
    <xf numFmtId="0" fontId="37" fillId="0" borderId="32" xfId="0" applyFont="1" applyBorder="1" applyAlignment="1" applyProtection="1">
      <alignment horizontal="center" vertical="center" wrapText="1"/>
    </xf>
    <xf numFmtId="0" fontId="37" fillId="0" borderId="53"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11" fillId="3" borderId="4"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protection locked="0"/>
    </xf>
    <xf numFmtId="0" fontId="19" fillId="0" borderId="0" xfId="0" applyFont="1" applyAlignment="1" applyProtection="1">
      <alignment horizontal="left" vertical="center" wrapText="1"/>
    </xf>
    <xf numFmtId="0" fontId="19" fillId="0" borderId="0" xfId="0" applyFont="1" applyBorder="1" applyAlignment="1" applyProtection="1">
      <alignment horizontal="left" vertical="center" wrapText="1"/>
    </xf>
    <xf numFmtId="0" fontId="20" fillId="5" borderId="12" xfId="0" applyFont="1" applyFill="1" applyBorder="1" applyAlignment="1" applyProtection="1">
      <alignment horizontal="center" vertical="center" wrapText="1"/>
    </xf>
    <xf numFmtId="0" fontId="20" fillId="5" borderId="13" xfId="0" applyFont="1" applyFill="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5" borderId="10" xfId="0" applyFont="1" applyFill="1" applyBorder="1" applyAlignment="1" applyProtection="1">
      <alignment horizontal="center" vertical="center" wrapText="1"/>
    </xf>
    <xf numFmtId="6" fontId="20" fillId="5" borderId="24" xfId="0" applyNumberFormat="1" applyFont="1" applyFill="1" applyBorder="1" applyAlignment="1" applyProtection="1">
      <alignment horizontal="center" vertical="center"/>
    </xf>
    <xf numFmtId="6" fontId="20" fillId="5" borderId="16" xfId="0" applyNumberFormat="1" applyFont="1" applyFill="1" applyBorder="1" applyAlignment="1" applyProtection="1">
      <alignment horizontal="center" vertical="center"/>
    </xf>
    <xf numFmtId="6" fontId="20" fillId="5" borderId="43" xfId="0" applyNumberFormat="1" applyFont="1" applyFill="1" applyBorder="1" applyAlignment="1" applyProtection="1">
      <alignment horizontal="center" vertical="center"/>
    </xf>
    <xf numFmtId="6" fontId="20" fillId="5" borderId="65" xfId="0" applyNumberFormat="1" applyFont="1" applyFill="1" applyBorder="1" applyAlignment="1" applyProtection="1">
      <alignment horizontal="center" vertical="center"/>
    </xf>
    <xf numFmtId="44" fontId="16" fillId="0" borderId="15" xfId="0" applyNumberFormat="1" applyFont="1" applyFill="1" applyBorder="1" applyAlignment="1" applyProtection="1">
      <alignment horizontal="center" vertical="center" shrinkToFit="1"/>
    </xf>
    <xf numFmtId="44" fontId="16" fillId="0" borderId="57" xfId="0" applyNumberFormat="1" applyFont="1" applyFill="1" applyBorder="1" applyAlignment="1" applyProtection="1">
      <alignment horizontal="center" vertical="center" shrinkToFit="1"/>
    </xf>
    <xf numFmtId="44" fontId="16" fillId="0" borderId="29" xfId="0" applyNumberFormat="1" applyFont="1" applyFill="1" applyBorder="1" applyAlignment="1" applyProtection="1">
      <alignment horizontal="center" vertical="center" shrinkToFit="1"/>
    </xf>
    <xf numFmtId="0" fontId="65" fillId="3" borderId="12" xfId="0" applyFont="1" applyFill="1" applyBorder="1" applyAlignment="1" applyProtection="1">
      <alignment horizontal="center" vertical="center" wrapText="1"/>
      <protection locked="0"/>
    </xf>
    <xf numFmtId="0" fontId="39" fillId="0" borderId="46" xfId="0" applyFont="1" applyBorder="1" applyAlignment="1">
      <alignment horizontal="center"/>
    </xf>
    <xf numFmtId="0" fontId="37" fillId="0" borderId="7" xfId="0" applyFont="1" applyBorder="1" applyAlignment="1" applyProtection="1">
      <alignment horizontal="center" wrapText="1"/>
    </xf>
    <xf numFmtId="0" fontId="37" fillId="0" borderId="8" xfId="0" applyFont="1" applyBorder="1" applyAlignment="1" applyProtection="1">
      <alignment horizontal="center" wrapText="1"/>
    </xf>
    <xf numFmtId="0" fontId="37" fillId="0" borderId="34" xfId="0" applyFont="1" applyBorder="1" applyAlignment="1" applyProtection="1">
      <alignment horizontal="center" wrapText="1"/>
    </xf>
    <xf numFmtId="0" fontId="18" fillId="0" borderId="27"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2" fillId="0" borderId="0" xfId="0" applyFont="1" applyAlignment="1" applyProtection="1"/>
    <xf numFmtId="0" fontId="0" fillId="0" borderId="0" xfId="0" applyFont="1" applyAlignment="1" applyProtection="1"/>
    <xf numFmtId="0" fontId="37" fillId="0" borderId="35" xfId="0" applyFont="1" applyBorder="1" applyAlignment="1" applyProtection="1">
      <alignment horizontal="center" vertical="center" wrapText="1"/>
    </xf>
    <xf numFmtId="0" fontId="37" fillId="0" borderId="34" xfId="0" applyFont="1" applyBorder="1" applyAlignment="1" applyProtection="1">
      <alignment horizontal="center" vertical="center" wrapText="1"/>
    </xf>
    <xf numFmtId="0" fontId="37" fillId="0" borderId="19"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6" fontId="37" fillId="0" borderId="39" xfId="0" applyNumberFormat="1" applyFont="1" applyBorder="1" applyAlignment="1" applyProtection="1">
      <alignment horizontal="center" vertical="center"/>
    </xf>
    <xf numFmtId="6" fontId="37" fillId="0" borderId="23" xfId="0" applyNumberFormat="1" applyFont="1" applyBorder="1" applyAlignment="1" applyProtection="1">
      <alignment horizontal="center" vertical="center"/>
    </xf>
    <xf numFmtId="0" fontId="25" fillId="7" borderId="6" xfId="0" applyFont="1" applyFill="1" applyBorder="1" applyAlignment="1" applyProtection="1">
      <alignment horizontal="center" vertical="center" wrapText="1"/>
    </xf>
    <xf numFmtId="0" fontId="27" fillId="7" borderId="6" xfId="0" applyFont="1" applyFill="1" applyBorder="1" applyAlignment="1" applyProtection="1">
      <alignment horizontal="right" vertical="center" wrapText="1"/>
    </xf>
    <xf numFmtId="0" fontId="28" fillId="0" borderId="1" xfId="0" applyFont="1" applyBorder="1" applyAlignment="1">
      <alignment horizontal="center" wrapText="1"/>
    </xf>
    <xf numFmtId="0" fontId="28" fillId="0" borderId="2" xfId="0" applyFont="1" applyBorder="1" applyAlignment="1">
      <alignment horizontal="center" wrapText="1"/>
    </xf>
    <xf numFmtId="0" fontId="28" fillId="0" borderId="3" xfId="0" applyFont="1" applyBorder="1" applyAlignment="1">
      <alignment horizontal="center" wrapText="1"/>
    </xf>
    <xf numFmtId="0" fontId="30" fillId="0" borderId="17" xfId="0" applyFont="1" applyBorder="1" applyAlignment="1" applyProtection="1">
      <alignment horizontal="center" wrapText="1"/>
    </xf>
    <xf numFmtId="0" fontId="30" fillId="0" borderId="20" xfId="0" applyFont="1" applyBorder="1" applyAlignment="1" applyProtection="1">
      <alignment horizontal="center" wrapText="1"/>
    </xf>
    <xf numFmtId="0" fontId="30" fillId="0" borderId="21" xfId="0" applyFont="1" applyBorder="1" applyAlignment="1" applyProtection="1">
      <alignment horizontal="center" wrapText="1"/>
    </xf>
    <xf numFmtId="0" fontId="30" fillId="0" borderId="19" xfId="0" applyFont="1" applyBorder="1" applyAlignment="1" applyProtection="1">
      <alignment horizontal="center" wrapText="1"/>
    </xf>
    <xf numFmtId="0" fontId="29" fillId="0" borderId="7" xfId="0" applyFont="1" applyFill="1" applyBorder="1" applyAlignment="1" applyProtection="1">
      <alignment horizontal="center"/>
    </xf>
    <xf numFmtId="0" fontId="29" fillId="0" borderId="8" xfId="0" applyFont="1" applyFill="1" applyBorder="1" applyAlignment="1" applyProtection="1">
      <alignment horizontal="center"/>
    </xf>
    <xf numFmtId="0" fontId="29" fillId="0" borderId="9" xfId="0" applyFont="1" applyFill="1" applyBorder="1" applyAlignment="1" applyProtection="1">
      <alignment horizontal="center"/>
    </xf>
    <xf numFmtId="0" fontId="30" fillId="0" borderId="17" xfId="0" applyFont="1" applyBorder="1" applyAlignment="1" applyProtection="1">
      <alignment horizontal="center"/>
    </xf>
    <xf numFmtId="0" fontId="30" fillId="0" borderId="20" xfId="0" applyFont="1" applyBorder="1" applyAlignment="1" applyProtection="1">
      <alignment horizontal="center"/>
    </xf>
    <xf numFmtId="0" fontId="30" fillId="0" borderId="33" xfId="0" applyFont="1" applyBorder="1" applyAlignment="1" applyProtection="1">
      <alignment horizontal="center"/>
    </xf>
    <xf numFmtId="0" fontId="33" fillId="7" borderId="11" xfId="0" applyFont="1" applyFill="1" applyBorder="1" applyAlignment="1" applyProtection="1">
      <alignment horizontal="center" vertical="center" wrapText="1"/>
    </xf>
    <xf numFmtId="0" fontId="33" fillId="7" borderId="12" xfId="0" applyFont="1" applyFill="1" applyBorder="1" applyAlignment="1" applyProtection="1">
      <alignment horizontal="center" vertical="center" wrapText="1"/>
    </xf>
    <xf numFmtId="0" fontId="33" fillId="7" borderId="13" xfId="0" applyFont="1" applyFill="1" applyBorder="1" applyAlignment="1" applyProtection="1">
      <alignment horizontal="center" vertical="center" wrapText="1"/>
    </xf>
    <xf numFmtId="0" fontId="35" fillId="7" borderId="6" xfId="0" applyFont="1" applyFill="1" applyBorder="1" applyAlignment="1" applyProtection="1">
      <alignment horizontal="right" wrapText="1"/>
    </xf>
    <xf numFmtId="0" fontId="30" fillId="0" borderId="7" xfId="0" applyFont="1" applyBorder="1" applyAlignment="1" applyProtection="1">
      <alignment horizontal="center" wrapText="1"/>
    </xf>
    <xf numFmtId="0" fontId="30" fillId="0" borderId="8" xfId="0" applyFont="1" applyBorder="1" applyAlignment="1" applyProtection="1">
      <alignment horizontal="center" wrapText="1"/>
    </xf>
    <xf numFmtId="0" fontId="30" fillId="0" borderId="34" xfId="0" applyFont="1" applyBorder="1" applyAlignment="1" applyProtection="1">
      <alignment horizontal="center" wrapText="1"/>
    </xf>
    <xf numFmtId="0" fontId="30" fillId="0" borderId="35" xfId="0" applyFont="1" applyBorder="1" applyAlignment="1" applyProtection="1">
      <alignment horizontal="center" wrapText="1"/>
    </xf>
    <xf numFmtId="6" fontId="30" fillId="0" borderId="36" xfId="0" applyNumberFormat="1" applyFont="1" applyBorder="1" applyAlignment="1" applyProtection="1">
      <alignment horizontal="center" vertical="center"/>
    </xf>
    <xf numFmtId="0" fontId="30" fillId="0" borderId="25" xfId="0" applyFont="1" applyBorder="1" applyAlignment="1" applyProtection="1">
      <alignment horizontal="center" vertical="center"/>
    </xf>
    <xf numFmtId="0" fontId="30" fillId="0" borderId="37" xfId="0" applyFont="1" applyBorder="1" applyAlignment="1" applyProtection="1">
      <alignment horizontal="center" wrapText="1"/>
    </xf>
    <xf numFmtId="0" fontId="30" fillId="0" borderId="4" xfId="0" applyFont="1" applyBorder="1" applyAlignment="1" applyProtection="1">
      <alignment horizontal="center" wrapText="1"/>
    </xf>
    <xf numFmtId="0" fontId="30" fillId="0" borderId="31" xfId="0" applyFont="1" applyBorder="1" applyAlignment="1" applyProtection="1">
      <alignment horizontal="center" wrapText="1"/>
    </xf>
    <xf numFmtId="6" fontId="30" fillId="0" borderId="38" xfId="0" applyNumberFormat="1" applyFont="1" applyBorder="1" applyAlignment="1" applyProtection="1">
      <alignment horizontal="center" vertical="center"/>
    </xf>
    <xf numFmtId="0" fontId="35" fillId="7" borderId="6" xfId="0" applyFont="1" applyFill="1" applyBorder="1" applyAlignment="1" applyProtection="1">
      <alignment horizontal="right" vertical="center" wrapText="1"/>
    </xf>
    <xf numFmtId="0" fontId="35" fillId="7" borderId="6" xfId="0" applyFont="1" applyFill="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0" fontId="35" fillId="7" borderId="11" xfId="0" applyFont="1" applyFill="1" applyBorder="1" applyAlignment="1" applyProtection="1">
      <alignment horizontal="right" wrapText="1"/>
    </xf>
    <xf numFmtId="0" fontId="35" fillId="7" borderId="12" xfId="0" applyFont="1" applyFill="1" applyBorder="1" applyAlignment="1" applyProtection="1">
      <alignment horizontal="right" wrapText="1"/>
    </xf>
    <xf numFmtId="0" fontId="35" fillId="7" borderId="13" xfId="0" applyFont="1" applyFill="1" applyBorder="1" applyAlignment="1" applyProtection="1">
      <alignment horizontal="right" wrapText="1"/>
    </xf>
    <xf numFmtId="0" fontId="33" fillId="7" borderId="30" xfId="0" applyFont="1" applyFill="1" applyBorder="1" applyAlignment="1" applyProtection="1">
      <alignment horizontal="center" wrapText="1"/>
    </xf>
    <xf numFmtId="0" fontId="33" fillId="7" borderId="4" xfId="0" applyFont="1" applyFill="1" applyBorder="1" applyAlignment="1" applyProtection="1">
      <alignment horizontal="center" wrapText="1"/>
    </xf>
    <xf numFmtId="0" fontId="33" fillId="7" borderId="31" xfId="0" applyFont="1" applyFill="1" applyBorder="1" applyAlignment="1" applyProtection="1">
      <alignment horizontal="center" wrapText="1"/>
    </xf>
    <xf numFmtId="0" fontId="2" fillId="0" borderId="24"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35" fillId="7" borderId="24" xfId="0" applyFont="1" applyFill="1" applyBorder="1" applyAlignment="1" applyProtection="1">
      <alignment horizontal="right" vertical="center" wrapText="1"/>
    </xf>
    <xf numFmtId="0" fontId="35" fillId="7" borderId="46" xfId="0" applyFont="1" applyFill="1" applyBorder="1" applyAlignment="1" applyProtection="1">
      <alignment horizontal="right" vertical="center" wrapText="1"/>
    </xf>
    <xf numFmtId="0" fontId="35" fillId="7" borderId="32" xfId="0" applyFont="1" applyFill="1" applyBorder="1" applyAlignment="1" applyProtection="1">
      <alignment horizontal="right" vertical="center" wrapText="1"/>
    </xf>
    <xf numFmtId="0" fontId="28" fillId="0" borderId="62" xfId="0" applyFont="1" applyBorder="1" applyAlignment="1">
      <alignment horizontal="center" wrapText="1"/>
    </xf>
    <xf numFmtId="0" fontId="28" fillId="0" borderId="5" xfId="0" applyFont="1" applyBorder="1" applyAlignment="1">
      <alignment horizontal="center" wrapText="1"/>
    </xf>
    <xf numFmtId="0" fontId="28" fillId="0" borderId="63" xfId="0" applyFont="1" applyBorder="1" applyAlignment="1">
      <alignment horizontal="center" wrapText="1"/>
    </xf>
    <xf numFmtId="0" fontId="35" fillId="7" borderId="30" xfId="0" applyFont="1" applyFill="1" applyBorder="1" applyAlignment="1" applyProtection="1">
      <alignment horizontal="center" vertical="center" wrapText="1"/>
    </xf>
    <xf numFmtId="0" fontId="35" fillId="7" borderId="4" xfId="0" applyFont="1" applyFill="1" applyBorder="1" applyAlignment="1" applyProtection="1">
      <alignment horizontal="center" vertical="center" wrapText="1"/>
    </xf>
    <xf numFmtId="0" fontId="35" fillId="7" borderId="24" xfId="0" applyFont="1" applyFill="1" applyBorder="1" applyAlignment="1" applyProtection="1">
      <alignment horizontal="right" wrapText="1"/>
    </xf>
    <xf numFmtId="0" fontId="35" fillId="7" borderId="46" xfId="0" applyFont="1" applyFill="1" applyBorder="1" applyAlignment="1" applyProtection="1">
      <alignment horizontal="right" wrapText="1"/>
    </xf>
    <xf numFmtId="0" fontId="35" fillId="7" borderId="32" xfId="0" applyFont="1" applyFill="1" applyBorder="1" applyAlignment="1" applyProtection="1">
      <alignment horizontal="right" wrapText="1"/>
    </xf>
    <xf numFmtId="0" fontId="35" fillId="7" borderId="11" xfId="0" applyFont="1" applyFill="1" applyBorder="1" applyAlignment="1" applyProtection="1">
      <alignment horizontal="center" vertical="center" wrapText="1"/>
    </xf>
    <xf numFmtId="0" fontId="35" fillId="7" borderId="12" xfId="0" applyFont="1" applyFill="1" applyBorder="1" applyAlignment="1" applyProtection="1">
      <alignment horizontal="center" vertical="center" wrapText="1"/>
    </xf>
    <xf numFmtId="0" fontId="35" fillId="7" borderId="13" xfId="0" applyFont="1" applyFill="1" applyBorder="1" applyAlignment="1" applyProtection="1">
      <alignment horizontal="center" vertical="center" wrapText="1"/>
    </xf>
    <xf numFmtId="0" fontId="60" fillId="3" borderId="11" xfId="0" applyFont="1" applyFill="1" applyBorder="1" applyAlignment="1" applyProtection="1">
      <alignment horizontal="center" vertical="center" wrapText="1"/>
      <protection locked="0"/>
    </xf>
    <xf numFmtId="0" fontId="60" fillId="3" borderId="12" xfId="0" applyFont="1" applyFill="1" applyBorder="1" applyAlignment="1" applyProtection="1">
      <alignment horizontal="center" vertical="center" wrapText="1"/>
      <protection locked="0"/>
    </xf>
    <xf numFmtId="0" fontId="60" fillId="3" borderId="13" xfId="0" applyFont="1" applyFill="1" applyBorder="1" applyAlignment="1" applyProtection="1">
      <alignment horizontal="center" vertical="center" wrapText="1"/>
      <protection locked="0"/>
    </xf>
    <xf numFmtId="0" fontId="61" fillId="12" borderId="62" xfId="0" applyFont="1" applyFill="1" applyBorder="1" applyAlignment="1" applyProtection="1">
      <alignment horizontal="right" vertical="top" wrapText="1"/>
    </xf>
    <xf numFmtId="0" fontId="61" fillId="12" borderId="5" xfId="0" applyFont="1" applyFill="1" applyBorder="1" applyAlignment="1" applyProtection="1">
      <alignment horizontal="right" vertical="top" wrapText="1"/>
    </xf>
    <xf numFmtId="0" fontId="61" fillId="12" borderId="0" xfId="0" applyFont="1" applyFill="1" applyBorder="1" applyAlignment="1" applyProtection="1">
      <alignment horizontal="center" vertical="center" wrapText="1"/>
    </xf>
    <xf numFmtId="0" fontId="59" fillId="0" borderId="11" xfId="0" applyFont="1" applyFill="1" applyBorder="1" applyAlignment="1" applyProtection="1">
      <alignment horizontal="left" vertical="center" wrapText="1"/>
    </xf>
    <xf numFmtId="0" fontId="59" fillId="0" borderId="12" xfId="0" applyFont="1" applyFill="1" applyBorder="1" applyAlignment="1" applyProtection="1">
      <alignment horizontal="left" vertical="center" wrapText="1"/>
    </xf>
    <xf numFmtId="0" fontId="59" fillId="0" borderId="13" xfId="0" applyFont="1" applyFill="1" applyBorder="1" applyAlignment="1" applyProtection="1">
      <alignment horizontal="left" vertical="center" wrapText="1"/>
    </xf>
    <xf numFmtId="0" fontId="29" fillId="0" borderId="29" xfId="0" applyFont="1" applyFill="1" applyBorder="1" applyAlignment="1" applyProtection="1">
      <alignment horizontal="center" vertical="center" wrapText="1"/>
    </xf>
    <xf numFmtId="0" fontId="60" fillId="3" borderId="6"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xf>
    <xf numFmtId="0" fontId="66" fillId="0" borderId="0" xfId="5" applyFont="1" applyAlignment="1">
      <alignment horizontal="left" vertical="top" wrapText="1"/>
    </xf>
  </cellXfs>
  <cellStyles count="8">
    <cellStyle name="Comma" xfId="4" builtinId="3"/>
    <cellStyle name="Comma 2" xfId="6" xr:uid="{76AC6A0B-DC32-42F2-82E5-DB8F1B83817D}"/>
    <cellStyle name="Currency" xfId="3" builtinId="4"/>
    <cellStyle name="Hyperlink" xfId="2" builtinId="8"/>
    <cellStyle name="Normal" xfId="0" builtinId="0"/>
    <cellStyle name="Normal 2" xfId="5" xr:uid="{AF6ACB11-CE7A-46FF-A2B5-903851C638E1}"/>
    <cellStyle name="Normal 2 2" xfId="7" xr:uid="{5C032908-8294-4B7C-9784-370149BD9832}"/>
    <cellStyle name="Percent" xfId="1" builtinId="5"/>
  </cellStyles>
  <dxfs count="11">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patternType="solid">
          <fgColor theme="0"/>
          <bgColor theme="0"/>
        </patternFill>
      </fill>
      <border>
        <left/>
        <right/>
        <top/>
        <bottom/>
        <vertical/>
        <horizontal/>
      </border>
    </dxf>
    <dxf>
      <font>
        <strike val="0"/>
        <color theme="0"/>
      </font>
      <fill>
        <patternFill patternType="solid">
          <fgColor theme="0"/>
          <bgColor theme="0"/>
        </patternFill>
      </fill>
      <border>
        <left/>
        <right/>
        <top/>
        <bottom/>
      </border>
    </dxf>
  </dxfs>
  <tableStyles count="0" defaultTableStyle="TableStyleMedium2" defaultPivotStyle="PivotStyleLight16"/>
  <colors>
    <mruColors>
      <color rgb="FF00B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143156</xdr:colOff>
      <xdr:row>0</xdr:row>
      <xdr:rowOff>22127</xdr:rowOff>
    </xdr:from>
    <xdr:to>
      <xdr:col>1</xdr:col>
      <xdr:colOff>1104900</xdr:colOff>
      <xdr:row>0</xdr:row>
      <xdr:rowOff>1008351</xdr:rowOff>
    </xdr:to>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756" y="22127"/>
          <a:ext cx="961744" cy="10014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ndimanr\Desktop\Worksheets\wks_custom_non-lighting_1VP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ndimanr\Desktop\Worksheets\CKE\wks_kitchen_convection-oven_1VP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andimanr\Desktop\Worksheets\wks_c_kitchen_prescriptive_1RNadas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andimanr\Desktop\Worksheets\CKE\wks_kitchen_combination-oven_1V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Rules &amp; Worksheet Tips"/>
      <sheetName val="Overview &amp; Inputs"/>
      <sheetName val="Financial Review Total Project"/>
      <sheetName val="Avoided Cost Table"/>
      <sheetName val="Lookup Tables"/>
      <sheetName val="Effective Rates"/>
    </sheetNames>
    <sheetDataSet>
      <sheetData sheetId="0" refreshError="1"/>
      <sheetData sheetId="1">
        <row r="4">
          <cell r="I4" t="str">
            <v>Hawai‘i</v>
          </cell>
        </row>
      </sheetData>
      <sheetData sheetId="2">
        <row r="4">
          <cell r="I4" t="str">
            <v>Hawai‘i</v>
          </cell>
          <cell r="J4">
            <v>5.9799999999999999E-2</v>
          </cell>
        </row>
        <row r="5">
          <cell r="I5" t="str">
            <v>Maui</v>
          </cell>
          <cell r="J5">
            <v>4.8559999999999999E-2</v>
          </cell>
        </row>
        <row r="6">
          <cell r="I6" t="str">
            <v>Moloka‘i</v>
          </cell>
          <cell r="J6">
            <v>8.5099999999999995E-2</v>
          </cell>
        </row>
        <row r="7">
          <cell r="I7" t="str">
            <v>Lāna‘i</v>
          </cell>
          <cell r="J7">
            <v>4.514E-2</v>
          </cell>
        </row>
        <row r="8">
          <cell r="I8" t="str">
            <v>O‘ahu</v>
          </cell>
          <cell r="J8">
            <v>3.952E-2</v>
          </cell>
        </row>
        <row r="18">
          <cell r="F18" t="str">
            <v>Hawai‘i</v>
          </cell>
        </row>
      </sheetData>
      <sheetData sheetId="3">
        <row r="3">
          <cell r="I3">
            <v>213</v>
          </cell>
          <cell r="J3">
            <v>621</v>
          </cell>
          <cell r="K3">
            <v>0</v>
          </cell>
          <cell r="L3">
            <v>0.114</v>
          </cell>
          <cell r="M3">
            <v>0.153</v>
          </cell>
          <cell r="N3">
            <v>0.16700000000000001</v>
          </cell>
        </row>
        <row r="4">
          <cell r="I4">
            <v>414</v>
          </cell>
          <cell r="J4">
            <v>1207</v>
          </cell>
          <cell r="K4">
            <v>0</v>
          </cell>
          <cell r="L4">
            <v>0.224</v>
          </cell>
          <cell r="M4">
            <v>0.30199999999999999</v>
          </cell>
          <cell r="N4">
            <v>0.32900000000000001</v>
          </cell>
        </row>
        <row r="5">
          <cell r="I5">
            <v>604</v>
          </cell>
          <cell r="J5">
            <v>1760</v>
          </cell>
          <cell r="K5">
            <v>0</v>
          </cell>
          <cell r="L5">
            <v>0.33200000000000002</v>
          </cell>
          <cell r="M5">
            <v>0.44700000000000001</v>
          </cell>
          <cell r="N5">
            <v>0.48699999999999999</v>
          </cell>
        </row>
        <row r="6">
          <cell r="I6">
            <v>782</v>
          </cell>
          <cell r="J6">
            <v>2281</v>
          </cell>
          <cell r="K6">
            <v>0</v>
          </cell>
          <cell r="L6">
            <v>0.437</v>
          </cell>
          <cell r="M6">
            <v>0.58799999999999997</v>
          </cell>
          <cell r="N6">
            <v>0.64</v>
          </cell>
        </row>
        <row r="7">
          <cell r="I7">
            <v>951</v>
          </cell>
          <cell r="J7">
            <v>2773</v>
          </cell>
          <cell r="K7">
            <v>0</v>
          </cell>
          <cell r="L7">
            <v>0.53900000000000003</v>
          </cell>
          <cell r="M7">
            <v>0.72499999999999998</v>
          </cell>
          <cell r="N7">
            <v>0.78800000000000003</v>
          </cell>
        </row>
        <row r="8">
          <cell r="I8">
            <v>1110</v>
          </cell>
          <cell r="J8">
            <v>3237</v>
          </cell>
          <cell r="K8">
            <v>0</v>
          </cell>
          <cell r="L8">
            <v>0.63900000000000001</v>
          </cell>
          <cell r="M8">
            <v>0.85799999999999998</v>
          </cell>
          <cell r="N8">
            <v>0.93200000000000005</v>
          </cell>
        </row>
        <row r="9">
          <cell r="I9">
            <v>1260</v>
          </cell>
          <cell r="J9">
            <v>3675</v>
          </cell>
          <cell r="K9">
            <v>0</v>
          </cell>
          <cell r="L9">
            <v>0.73499999999999999</v>
          </cell>
          <cell r="M9">
            <v>0.98699999999999999</v>
          </cell>
          <cell r="N9">
            <v>1.0720000000000001</v>
          </cell>
        </row>
        <row r="10">
          <cell r="I10">
            <v>1402</v>
          </cell>
          <cell r="J10">
            <v>4088</v>
          </cell>
          <cell r="K10">
            <v>0</v>
          </cell>
          <cell r="L10">
            <v>0.82899999999999996</v>
          </cell>
          <cell r="M10">
            <v>1.1120000000000001</v>
          </cell>
          <cell r="N10">
            <v>1.2090000000000001</v>
          </cell>
        </row>
        <row r="11">
          <cell r="I11">
            <v>1536</v>
          </cell>
          <cell r="J11">
            <v>4477</v>
          </cell>
          <cell r="K11">
            <v>0</v>
          </cell>
          <cell r="L11">
            <v>0.92</v>
          </cell>
          <cell r="M11">
            <v>1.234</v>
          </cell>
          <cell r="N11">
            <v>1.341</v>
          </cell>
        </row>
        <row r="12">
          <cell r="I12">
            <v>1662</v>
          </cell>
          <cell r="J12">
            <v>4845</v>
          </cell>
          <cell r="K12">
            <v>0</v>
          </cell>
          <cell r="L12">
            <v>1.008</v>
          </cell>
          <cell r="M12">
            <v>1.3520000000000001</v>
          </cell>
          <cell r="N12">
            <v>1.4690000000000001</v>
          </cell>
        </row>
        <row r="13">
          <cell r="I13">
            <v>1781</v>
          </cell>
          <cell r="J13">
            <v>5192</v>
          </cell>
          <cell r="K13">
            <v>0</v>
          </cell>
          <cell r="L13">
            <v>1.0940000000000001</v>
          </cell>
          <cell r="M13">
            <v>1.4670000000000001</v>
          </cell>
          <cell r="N13">
            <v>1.5940000000000001</v>
          </cell>
        </row>
        <row r="14">
          <cell r="I14">
            <v>1893</v>
          </cell>
          <cell r="J14">
            <v>5519</v>
          </cell>
          <cell r="K14">
            <v>0</v>
          </cell>
          <cell r="L14">
            <v>1.177</v>
          </cell>
          <cell r="M14">
            <v>1.579</v>
          </cell>
          <cell r="N14">
            <v>1.716</v>
          </cell>
        </row>
        <row r="15">
          <cell r="I15">
            <v>1999</v>
          </cell>
          <cell r="J15">
            <v>5827</v>
          </cell>
          <cell r="K15">
            <v>0</v>
          </cell>
          <cell r="L15">
            <v>1.258</v>
          </cell>
          <cell r="M15">
            <v>1.6870000000000001</v>
          </cell>
          <cell r="N15">
            <v>1.8340000000000001</v>
          </cell>
        </row>
        <row r="16">
          <cell r="I16">
            <v>2099</v>
          </cell>
          <cell r="J16">
            <v>6119</v>
          </cell>
          <cell r="K16">
            <v>0</v>
          </cell>
          <cell r="L16">
            <v>1.337</v>
          </cell>
          <cell r="M16">
            <v>1.7929999999999999</v>
          </cell>
          <cell r="N16">
            <v>1.9490000000000001</v>
          </cell>
        </row>
        <row r="17">
          <cell r="I17">
            <v>2193</v>
          </cell>
          <cell r="J17">
            <v>6393</v>
          </cell>
          <cell r="K17">
            <v>0</v>
          </cell>
          <cell r="L17">
            <v>1.413</v>
          </cell>
          <cell r="M17">
            <v>1.8959999999999999</v>
          </cell>
          <cell r="N17">
            <v>2.0609999999999999</v>
          </cell>
        </row>
        <row r="18">
          <cell r="I18">
            <v>2282</v>
          </cell>
          <cell r="J18">
            <v>6652</v>
          </cell>
          <cell r="K18">
            <v>0</v>
          </cell>
          <cell r="L18">
            <v>1.4870000000000001</v>
          </cell>
          <cell r="M18">
            <v>1.9950000000000001</v>
          </cell>
          <cell r="N18">
            <v>2.169</v>
          </cell>
        </row>
        <row r="19">
          <cell r="I19">
            <v>2366</v>
          </cell>
          <cell r="J19">
            <v>6897</v>
          </cell>
          <cell r="K19">
            <v>0</v>
          </cell>
          <cell r="L19">
            <v>1.5589999999999999</v>
          </cell>
          <cell r="M19">
            <v>2.0920000000000001</v>
          </cell>
          <cell r="N19">
            <v>2.2749999999999999</v>
          </cell>
        </row>
        <row r="20">
          <cell r="I20">
            <v>2445</v>
          </cell>
          <cell r="J20">
            <v>7127</v>
          </cell>
          <cell r="K20">
            <v>0</v>
          </cell>
          <cell r="L20">
            <v>1.629</v>
          </cell>
          <cell r="M20">
            <v>2.1859999999999999</v>
          </cell>
          <cell r="N20">
            <v>2.3769999999999998</v>
          </cell>
        </row>
        <row r="21">
          <cell r="I21">
            <v>2519</v>
          </cell>
          <cell r="J21">
            <v>7345</v>
          </cell>
          <cell r="K21">
            <v>0</v>
          </cell>
          <cell r="L21">
            <v>1.6970000000000001</v>
          </cell>
          <cell r="M21">
            <v>2.2770000000000001</v>
          </cell>
          <cell r="N21">
            <v>2.4769999999999999</v>
          </cell>
        </row>
        <row r="22">
          <cell r="I22">
            <v>2590</v>
          </cell>
          <cell r="J22">
            <v>7550</v>
          </cell>
          <cell r="K22">
            <v>0</v>
          </cell>
          <cell r="L22">
            <v>1.7629999999999999</v>
          </cell>
          <cell r="M22">
            <v>2.3660000000000001</v>
          </cell>
          <cell r="N22">
            <v>2.5739999999999998</v>
          </cell>
        </row>
        <row r="23">
          <cell r="I23">
            <v>2656</v>
          </cell>
          <cell r="J23">
            <v>7744</v>
          </cell>
          <cell r="K23">
            <v>0</v>
          </cell>
          <cell r="L23">
            <v>1.827</v>
          </cell>
          <cell r="M23">
            <v>2.4529999999999998</v>
          </cell>
          <cell r="N23">
            <v>2.6680000000000001</v>
          </cell>
        </row>
        <row r="24">
          <cell r="I24">
            <v>2719</v>
          </cell>
          <cell r="J24">
            <v>7926</v>
          </cell>
          <cell r="K24">
            <v>0</v>
          </cell>
          <cell r="L24">
            <v>1.89</v>
          </cell>
          <cell r="M24">
            <v>2.5369999999999999</v>
          </cell>
          <cell r="N24">
            <v>2.7589999999999999</v>
          </cell>
        </row>
        <row r="25">
          <cell r="I25">
            <v>2778</v>
          </cell>
          <cell r="J25">
            <v>8099</v>
          </cell>
          <cell r="K25">
            <v>0</v>
          </cell>
          <cell r="L25">
            <v>1.95</v>
          </cell>
          <cell r="M25">
            <v>2.6179999999999999</v>
          </cell>
          <cell r="N25">
            <v>2.8479999999999999</v>
          </cell>
        </row>
        <row r="26">
          <cell r="I26">
            <v>2834</v>
          </cell>
          <cell r="J26">
            <v>8261</v>
          </cell>
          <cell r="K26">
            <v>0</v>
          </cell>
          <cell r="L26">
            <v>2.0089999999999999</v>
          </cell>
          <cell r="M26">
            <v>2.6970000000000001</v>
          </cell>
          <cell r="N26">
            <v>2.9340000000000002</v>
          </cell>
        </row>
        <row r="27">
          <cell r="I27">
            <v>2886</v>
          </cell>
          <cell r="J27">
            <v>8415</v>
          </cell>
          <cell r="K27">
            <v>0</v>
          </cell>
          <cell r="L27">
            <v>2.0670000000000002</v>
          </cell>
          <cell r="M27">
            <v>2.7749999999999999</v>
          </cell>
          <cell r="N27">
            <v>3.0179999999999998</v>
          </cell>
        </row>
      </sheetData>
      <sheetData sheetId="4">
        <row r="3">
          <cell r="B3" t="str">
            <v>CO Sensors</v>
          </cell>
          <cell r="C3" t="str">
            <v>Parking Garages - Active Ventilation Control (CO)</v>
          </cell>
          <cell r="E3" t="str">
            <v>Cold Storage</v>
          </cell>
        </row>
        <row r="4">
          <cell r="B4" t="str">
            <v>Demand Control</v>
          </cell>
          <cell r="C4" t="str">
            <v>Commercial Demand Control Ventilation (CO₂)</v>
          </cell>
          <cell r="E4" t="str">
            <v>Education</v>
          </cell>
        </row>
        <row r="5">
          <cell r="B5" t="str">
            <v>EMS</v>
          </cell>
          <cell r="C5" t="str">
            <v>Advanced Energy Management Systems</v>
          </cell>
          <cell r="E5" t="str">
            <v>Grocery</v>
          </cell>
        </row>
        <row r="6">
          <cell r="B6" t="str">
            <v>HVAC</v>
          </cell>
          <cell r="C6" t="str">
            <v xml:space="preserve"> </v>
          </cell>
          <cell r="E6" t="str">
            <v>Health</v>
          </cell>
        </row>
        <row r="7">
          <cell r="B7" t="str">
            <v>Lighting</v>
          </cell>
          <cell r="C7" t="str">
            <v xml:space="preserve"> </v>
          </cell>
          <cell r="E7" t="str">
            <v>Hotel/Motel</v>
          </cell>
        </row>
        <row r="8">
          <cell r="B8" t="str">
            <v>Refrigeration</v>
          </cell>
          <cell r="C8" t="str">
            <v xml:space="preserve"> </v>
          </cell>
          <cell r="E8" t="str">
            <v>Industrial</v>
          </cell>
        </row>
        <row r="9">
          <cell r="B9" t="str">
            <v>Submetering</v>
          </cell>
          <cell r="C9" t="str">
            <v xml:space="preserve"> </v>
          </cell>
          <cell r="E9" t="str">
            <v>Misc. Commercial</v>
          </cell>
        </row>
        <row r="10">
          <cell r="B10" t="str">
            <v>W/W Processing</v>
          </cell>
          <cell r="C10" t="str">
            <v>Waste Water Processing</v>
          </cell>
          <cell r="E10" t="str">
            <v>Office</v>
          </cell>
        </row>
        <row r="11">
          <cell r="B11" t="str">
            <v>Water Pumping</v>
          </cell>
          <cell r="C11" t="str">
            <v xml:space="preserve"> </v>
          </cell>
          <cell r="E11" t="str">
            <v>Restaurant</v>
          </cell>
        </row>
        <row r="12">
          <cell r="B12" t="str">
            <v>Other</v>
          </cell>
          <cell r="C12" t="str">
            <v xml:space="preserve"> </v>
          </cell>
          <cell r="E12" t="str">
            <v>Retail</v>
          </cell>
        </row>
        <row r="13">
          <cell r="E13" t="str">
            <v>Warehouse</v>
          </cell>
        </row>
        <row r="15">
          <cell r="B15" t="str">
            <v>New</v>
          </cell>
        </row>
        <row r="16">
          <cell r="B16" t="str">
            <v>Retrofit</v>
          </cell>
        </row>
        <row r="19">
          <cell r="B19" t="str">
            <v>O‘ahu</v>
          </cell>
        </row>
        <row r="20">
          <cell r="B20" t="str">
            <v>Hawai‘i</v>
          </cell>
        </row>
        <row r="21">
          <cell r="B21" t="str">
            <v>Maui</v>
          </cell>
        </row>
        <row r="22">
          <cell r="B22" t="str">
            <v>Lāna‘i</v>
          </cell>
        </row>
        <row r="23">
          <cell r="B23" t="str">
            <v>Moloka‘i</v>
          </cell>
        </row>
        <row r="26">
          <cell r="B26" t="str">
            <v>Schedule G</v>
          </cell>
          <cell r="C26" t="str">
            <v>General Non-Demand</v>
          </cell>
        </row>
        <row r="27">
          <cell r="B27" t="str">
            <v>Schedule J</v>
          </cell>
          <cell r="C27" t="str">
            <v>General Demand</v>
          </cell>
        </row>
        <row r="28">
          <cell r="B28" t="str">
            <v>Schedule DS</v>
          </cell>
          <cell r="C28" t="str">
            <v>Large Power Directly Served</v>
          </cell>
        </row>
        <row r="29">
          <cell r="B29" t="str">
            <v>Schedule P</v>
          </cell>
          <cell r="C29" t="str">
            <v>Large Power</v>
          </cell>
        </row>
        <row r="30">
          <cell r="B30" t="str">
            <v>Schedule F</v>
          </cell>
          <cell r="C30" t="str">
            <v>Public Street Lighting</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s>
    <sheetDataSet>
      <sheetData sheetId="0">
        <row r="3">
          <cell r="J3" t="str">
            <v>Half</v>
          </cell>
        </row>
        <row r="4">
          <cell r="J4" t="str">
            <v>Full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Electric Combination Oven"/>
      <sheetName val="Fryer"/>
      <sheetName val="Electric Convection Oven"/>
      <sheetName val="Dishwasher"/>
      <sheetName val="Electric Griddle"/>
      <sheetName val="Hot Food Holding Cabinet"/>
      <sheetName val="Ice Machine"/>
      <sheetName val="Refrigerator"/>
      <sheetName val="Freezer"/>
      <sheetName val="Steam Cooker"/>
      <sheetName val="Low-Flow Spray Nozzle"/>
      <sheetName val="Demand Controlled Ventilation"/>
      <sheetName val="Lookup Tables"/>
      <sheetName val="Effective Rates"/>
    </sheetNames>
    <sheetDataSet>
      <sheetData sheetId="0"/>
      <sheetData sheetId="1"/>
      <sheetData sheetId="2"/>
      <sheetData sheetId="3"/>
      <sheetData sheetId="4"/>
      <sheetData sheetId="5"/>
      <sheetData sheetId="6"/>
      <sheetData sheetId="7"/>
      <sheetData sheetId="8"/>
      <sheetData sheetId="9"/>
      <sheetData sheetId="10">
        <row r="7">
          <cell r="L7">
            <v>3</v>
          </cell>
          <cell r="M7">
            <v>400</v>
          </cell>
        </row>
        <row r="8">
          <cell r="L8">
            <v>4</v>
          </cell>
          <cell r="M8">
            <v>530</v>
          </cell>
        </row>
        <row r="9">
          <cell r="L9">
            <v>5</v>
          </cell>
          <cell r="M9">
            <v>670</v>
          </cell>
        </row>
        <row r="10">
          <cell r="L10">
            <v>6</v>
          </cell>
          <cell r="M10">
            <v>800</v>
          </cell>
        </row>
      </sheetData>
      <sheetData sheetId="11"/>
      <sheetData sheetId="12"/>
      <sheetData sheetId="13">
        <row r="2">
          <cell r="A2" t="str">
            <v>Schedule G</v>
          </cell>
          <cell r="B2" t="str">
            <v>General Non-Demand</v>
          </cell>
        </row>
        <row r="3">
          <cell r="A3" t="str">
            <v>Schedule J</v>
          </cell>
          <cell r="B3" t="str">
            <v>General Demand</v>
          </cell>
        </row>
        <row r="4">
          <cell r="A4" t="str">
            <v>Schedule DS</v>
          </cell>
          <cell r="B4" t="str">
            <v>Large Power Directly Served</v>
          </cell>
        </row>
        <row r="5">
          <cell r="A5" t="str">
            <v>Schedule P</v>
          </cell>
          <cell r="B5" t="str">
            <v>Large Power</v>
          </cell>
        </row>
        <row r="6">
          <cell r="A6" t="str">
            <v>Schedule F</v>
          </cell>
          <cell r="B6" t="str">
            <v>Public Street Lighting</v>
          </cell>
        </row>
      </sheetData>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s>
    <sheetDataSet>
      <sheetData sheetId="0">
        <row r="7">
          <cell r="J7" t="str">
            <v xml:space="preserve">Steam </v>
          </cell>
          <cell r="K7" t="str">
            <v>≤ 28 pans</v>
          </cell>
        </row>
        <row r="8">
          <cell r="J8" t="str">
            <v>Convection</v>
          </cell>
          <cell r="K8" t="str">
            <v>&gt; 28 pans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4"/>
  <sheetViews>
    <sheetView showGridLines="0" tabSelected="1" zoomScaleNormal="100" workbookViewId="0"/>
  </sheetViews>
  <sheetFormatPr defaultColWidth="9.140625" defaultRowHeight="15" x14ac:dyDescent="0.25"/>
  <cols>
    <col min="1" max="1" width="2.28515625" style="167" customWidth="1"/>
    <col min="2" max="2" width="18.5703125" style="167" customWidth="1"/>
    <col min="3" max="5" width="25.5703125" style="167" customWidth="1"/>
    <col min="6" max="7" width="19.42578125" style="167" customWidth="1"/>
    <col min="8" max="8" width="35.7109375" style="167" customWidth="1"/>
    <col min="9" max="16384" width="9.140625" style="167"/>
  </cols>
  <sheetData>
    <row r="1" spans="1:8" ht="81" customHeight="1" thickBot="1" x14ac:dyDescent="0.3">
      <c r="A1" s="1"/>
      <c r="B1" s="2"/>
      <c r="C1" s="423" t="s">
        <v>404</v>
      </c>
      <c r="D1" s="424"/>
      <c r="E1" s="424"/>
      <c r="F1" s="424"/>
      <c r="G1" s="425"/>
      <c r="H1" s="1"/>
    </row>
    <row r="2" spans="1:8" x14ac:dyDescent="0.25">
      <c r="A2" s="1"/>
      <c r="B2" s="426"/>
      <c r="C2" s="426"/>
      <c r="D2" s="426"/>
      <c r="E2" s="426"/>
      <c r="F2" s="426"/>
      <c r="G2" s="426"/>
      <c r="H2" s="1"/>
    </row>
    <row r="3" spans="1:8" x14ac:dyDescent="0.25">
      <c r="A3" s="1"/>
      <c r="B3" s="3" t="s">
        <v>0</v>
      </c>
      <c r="C3" s="427"/>
      <c r="D3" s="427"/>
      <c r="E3" s="4" t="s">
        <v>1</v>
      </c>
      <c r="F3" s="428"/>
      <c r="G3" s="428"/>
      <c r="H3" s="1"/>
    </row>
    <row r="4" spans="1:8" x14ac:dyDescent="0.25">
      <c r="A4" s="1"/>
      <c r="B4" s="198" t="s">
        <v>261</v>
      </c>
      <c r="C4" s="445"/>
      <c r="D4" s="445"/>
      <c r="E4" s="198" t="s">
        <v>262</v>
      </c>
      <c r="F4" s="445"/>
      <c r="G4" s="445"/>
      <c r="H4" s="1"/>
    </row>
    <row r="5" spans="1:8" x14ac:dyDescent="0.25">
      <c r="A5" s="1"/>
      <c r="B5"/>
      <c r="C5" s="446" t="str">
        <f>IFERROR(VLOOKUP(C4,Lookup_RateDescription,2,FALSE),"")</f>
        <v/>
      </c>
      <c r="D5" s="446"/>
      <c r="E5" s="199" t="s">
        <v>263</v>
      </c>
      <c r="F5" s="200" t="str">
        <f>IFERROR(VLOOKUP($F$4&amp;"-"&amp;$C$4&amp;" - "&amp;$C$5&amp;"-kW",Lookup_EffectiveRate,5,FALSE),"Select Rate")</f>
        <v>Select Rate</v>
      </c>
      <c r="G5" s="201" t="str">
        <f>IFERROR(VLOOKUP($F$4&amp;"-"&amp;$C$4&amp;" - "&amp;$C$5&amp;"-kWh",Lookup_EffectiveRate,5,FALSE),"Select Island")</f>
        <v>Select Island</v>
      </c>
      <c r="H5" s="1"/>
    </row>
    <row r="6" spans="1:8" x14ac:dyDescent="0.25">
      <c r="A6" s="1"/>
      <c r="B6" s="6"/>
      <c r="C6" s="5"/>
      <c r="D6" s="6"/>
      <c r="E6" s="6"/>
      <c r="F6" s="6"/>
      <c r="G6" s="6"/>
      <c r="H6" s="1"/>
    </row>
    <row r="7" spans="1:8" ht="16.5" customHeight="1" x14ac:dyDescent="0.25">
      <c r="A7" s="274" t="s">
        <v>2</v>
      </c>
      <c r="B7" s="274"/>
      <c r="C7" s="274"/>
      <c r="D7" s="274"/>
      <c r="E7" s="274"/>
      <c r="F7" s="274"/>
      <c r="G7" s="275"/>
    </row>
    <row r="8" spans="1:8" ht="15.75" x14ac:dyDescent="0.25">
      <c r="B8" s="7"/>
      <c r="C8" s="8"/>
      <c r="D8" s="9"/>
      <c r="E8" s="10" t="s">
        <v>3</v>
      </c>
      <c r="F8" s="10" t="s">
        <v>4</v>
      </c>
      <c r="G8" s="10" t="s">
        <v>5</v>
      </c>
    </row>
    <row r="9" spans="1:8" ht="14.45" customHeight="1" x14ac:dyDescent="0.25">
      <c r="B9" s="414" t="s">
        <v>41</v>
      </c>
      <c r="C9" s="414"/>
      <c r="D9" s="22" t="s">
        <v>256</v>
      </c>
      <c r="E9" s="168">
        <f>IF(SUM('Electric Combination Oven'!$F$7:$F$11)&gt;0,SUMIF('Electric Combination Oven'!$E$7:$E$11,"3-4 Pans",'Electric Combination Oven'!$F$7:$F$11),0)</f>
        <v>0</v>
      </c>
      <c r="F9" s="169">
        <v>1500</v>
      </c>
      <c r="G9" s="442">
        <f>'Electric Combination Oven'!G12</f>
        <v>0</v>
      </c>
    </row>
    <row r="10" spans="1:8" ht="15" customHeight="1" x14ac:dyDescent="0.25">
      <c r="B10" s="415"/>
      <c r="C10" s="415"/>
      <c r="D10" s="21" t="s">
        <v>403</v>
      </c>
      <c r="E10" s="170">
        <f>IF(SUM('Electric Combination Oven'!$F$7:$F$11)&gt;0,SUMIF('Electric Combination Oven'!$E$7:$E$11,"*9 Pans",'Electric Combination Oven'!$F$7:$F$11),0)</f>
        <v>0</v>
      </c>
      <c r="F10" s="169">
        <v>3000</v>
      </c>
      <c r="G10" s="443"/>
    </row>
    <row r="11" spans="1:8" ht="15.75" customHeight="1" x14ac:dyDescent="0.25">
      <c r="B11" s="415"/>
      <c r="C11" s="415"/>
      <c r="D11" s="22" t="s">
        <v>254</v>
      </c>
      <c r="E11" s="168">
        <f>IF(SUM('Electric Combination Oven'!$F$7:$F$11)&gt;0,SUMIF('Electric Combination Oven'!$E$7:$E$11,"15-28 Pans",'Electric Combination Oven'!$F$7:$F$11),0)</f>
        <v>0</v>
      </c>
      <c r="F11" s="169">
        <v>3000</v>
      </c>
      <c r="G11" s="443"/>
    </row>
    <row r="12" spans="1:8" ht="15.75" customHeight="1" x14ac:dyDescent="0.25">
      <c r="B12" s="415"/>
      <c r="C12" s="415"/>
      <c r="D12" s="21" t="s">
        <v>253</v>
      </c>
      <c r="E12" s="170">
        <f>IF(SUM('Electric Combination Oven'!$F$7:$F$11)&gt;0,SUMIF('Electric Combination Oven'!$E$7:$E$11,"29-40 Pans",'Electric Combination Oven'!$F$7:$F$11),0)</f>
        <v>0</v>
      </c>
      <c r="F12" s="169">
        <v>3000</v>
      </c>
      <c r="G12" s="444"/>
    </row>
    <row r="13" spans="1:8" ht="15.75" thickBot="1" x14ac:dyDescent="0.3"/>
    <row r="14" spans="1:8" ht="16.5" thickTop="1" thickBot="1" x14ac:dyDescent="0.3">
      <c r="B14" s="450" t="s">
        <v>6</v>
      </c>
      <c r="C14" s="451"/>
      <c r="D14" s="451"/>
      <c r="E14" s="451"/>
      <c r="F14" s="451"/>
      <c r="G14" s="452"/>
    </row>
    <row r="15" spans="1:8" ht="15.75" thickTop="1" x14ac:dyDescent="0.25">
      <c r="B15" s="453" t="s">
        <v>7</v>
      </c>
      <c r="C15" s="454"/>
      <c r="D15" s="454"/>
      <c r="E15" s="454"/>
      <c r="F15" s="454"/>
      <c r="G15" s="455"/>
    </row>
    <row r="16" spans="1:8" x14ac:dyDescent="0.25">
      <c r="B16" s="11" t="s">
        <v>8</v>
      </c>
      <c r="C16" s="54" t="s">
        <v>9</v>
      </c>
      <c r="D16" s="431" t="s">
        <v>10</v>
      </c>
      <c r="E16" s="432"/>
      <c r="F16" s="438" t="s">
        <v>11</v>
      </c>
      <c r="G16" s="439"/>
    </row>
    <row r="17" spans="2:8" x14ac:dyDescent="0.25">
      <c r="B17" s="437" t="s">
        <v>246</v>
      </c>
      <c r="C17" s="431"/>
      <c r="D17" s="431"/>
      <c r="E17" s="432"/>
      <c r="F17" s="440"/>
      <c r="G17" s="441"/>
    </row>
    <row r="18" spans="2:8" x14ac:dyDescent="0.25">
      <c r="B18" s="12" t="s">
        <v>12</v>
      </c>
      <c r="C18" s="13" t="s">
        <v>247</v>
      </c>
      <c r="D18" s="433" t="s">
        <v>249</v>
      </c>
      <c r="E18" s="434"/>
      <c r="F18" s="357"/>
      <c r="G18" s="358"/>
    </row>
    <row r="19" spans="2:8" ht="15.75" thickBot="1" x14ac:dyDescent="0.3">
      <c r="B19" s="14" t="s">
        <v>15</v>
      </c>
      <c r="C19" s="15" t="s">
        <v>248</v>
      </c>
      <c r="D19" s="435" t="s">
        <v>250</v>
      </c>
      <c r="E19" s="436"/>
      <c r="F19" s="179" t="s">
        <v>256</v>
      </c>
      <c r="G19" s="183">
        <v>1500</v>
      </c>
    </row>
    <row r="20" spans="2:8" ht="15.75" thickTop="1" x14ac:dyDescent="0.25">
      <c r="B20" s="437" t="s">
        <v>245</v>
      </c>
      <c r="C20" s="431"/>
      <c r="D20" s="431"/>
      <c r="E20" s="432"/>
      <c r="F20" s="180" t="s">
        <v>255</v>
      </c>
      <c r="G20" s="184">
        <v>3000</v>
      </c>
    </row>
    <row r="21" spans="2:8" ht="14.45" customHeight="1" x14ac:dyDescent="0.25">
      <c r="B21" s="12" t="s">
        <v>12</v>
      </c>
      <c r="C21" s="13" t="s">
        <v>13</v>
      </c>
      <c r="D21" s="433" t="s">
        <v>14</v>
      </c>
      <c r="E21" s="434"/>
      <c r="F21" s="181" t="s">
        <v>254</v>
      </c>
      <c r="G21" s="185">
        <v>3000</v>
      </c>
    </row>
    <row r="22" spans="2:8" ht="15.75" thickBot="1" x14ac:dyDescent="0.3">
      <c r="B22" s="14" t="s">
        <v>15</v>
      </c>
      <c r="C22" s="15" t="s">
        <v>252</v>
      </c>
      <c r="D22" s="435" t="s">
        <v>251</v>
      </c>
      <c r="E22" s="436"/>
      <c r="F22" s="182" t="s">
        <v>253</v>
      </c>
      <c r="G22" s="186">
        <v>3000</v>
      </c>
    </row>
    <row r="23" spans="2:8" ht="15.75" thickTop="1" x14ac:dyDescent="0.25">
      <c r="B23" s="16"/>
      <c r="C23" s="16"/>
      <c r="D23" s="16"/>
      <c r="E23" s="17"/>
      <c r="F23" s="17"/>
      <c r="G23" s="18"/>
      <c r="H23" s="18"/>
    </row>
    <row r="24" spans="2:8" x14ac:dyDescent="0.25">
      <c r="B24" s="430" t="s">
        <v>244</v>
      </c>
      <c r="C24" s="430"/>
      <c r="D24" s="430"/>
      <c r="E24" s="430"/>
      <c r="F24" s="430"/>
      <c r="G24" s="430"/>
      <c r="H24" s="430"/>
    </row>
    <row r="25" spans="2:8" ht="47.25" customHeight="1" x14ac:dyDescent="0.25">
      <c r="B25" s="429" t="s">
        <v>56</v>
      </c>
      <c r="C25" s="429"/>
      <c r="D25" s="429"/>
      <c r="E25" s="429"/>
      <c r="F25" s="429"/>
      <c r="G25" s="429"/>
      <c r="H25" s="20"/>
    </row>
    <row r="28" spans="2:8" ht="15.75" x14ac:dyDescent="0.25">
      <c r="B28" s="7"/>
      <c r="C28" s="8"/>
      <c r="D28" s="9"/>
      <c r="E28" s="10" t="s">
        <v>3</v>
      </c>
      <c r="F28" s="10" t="s">
        <v>4</v>
      </c>
      <c r="G28" s="10" t="s">
        <v>5</v>
      </c>
    </row>
    <row r="29" spans="2:8" ht="14.45" customHeight="1" x14ac:dyDescent="0.25">
      <c r="B29" s="278" t="s">
        <v>42</v>
      </c>
      <c r="C29" s="279"/>
      <c r="D29" s="52" t="s">
        <v>28</v>
      </c>
      <c r="E29" s="168">
        <f>IF(SUM(Fryer!$H$7:$H$11)&gt;0,SUMIF(Fryer!$E$7:$E$11,"Standard",Fryer!$H$7:$H$11),0)</f>
        <v>0</v>
      </c>
      <c r="F29" s="169">
        <v>600</v>
      </c>
      <c r="G29" s="382">
        <f>Fryer!I12</f>
        <v>0</v>
      </c>
    </row>
    <row r="30" spans="2:8" x14ac:dyDescent="0.25">
      <c r="B30" s="280"/>
      <c r="C30" s="281"/>
      <c r="D30" s="53" t="s">
        <v>29</v>
      </c>
      <c r="E30" s="170">
        <f>IF(SUM(Fryer!$H$7:$H$11)&gt;0,SUMIF(Fryer!$E$7:$E$11,"Large Vat",Fryer!$H$7:$H$11),0)</f>
        <v>0</v>
      </c>
      <c r="F30" s="169">
        <v>1000</v>
      </c>
      <c r="G30" s="383"/>
    </row>
    <row r="31" spans="2:8" ht="15.75" thickBot="1" x14ac:dyDescent="0.3"/>
    <row r="32" spans="2:8" ht="15.75" thickTop="1" x14ac:dyDescent="0.25">
      <c r="B32" s="386" t="s">
        <v>30</v>
      </c>
      <c r="C32" s="387"/>
      <c r="D32" s="387"/>
      <c r="E32" s="387"/>
      <c r="F32" s="387"/>
      <c r="G32" s="388"/>
    </row>
    <row r="33" spans="2:9" ht="15.75" thickBot="1" x14ac:dyDescent="0.3">
      <c r="B33" s="389" t="s">
        <v>154</v>
      </c>
      <c r="C33" s="390"/>
      <c r="D33" s="390"/>
      <c r="E33" s="390"/>
      <c r="F33" s="390"/>
      <c r="G33" s="391"/>
    </row>
    <row r="34" spans="2:9" ht="15.75" thickTop="1" x14ac:dyDescent="0.25">
      <c r="B34" s="447" t="s">
        <v>32</v>
      </c>
      <c r="C34" s="448"/>
      <c r="D34" s="449"/>
      <c r="E34" s="458" t="s">
        <v>33</v>
      </c>
      <c r="F34" s="459"/>
      <c r="G34" s="462">
        <v>600</v>
      </c>
    </row>
    <row r="35" spans="2:9" ht="15.75" thickBot="1" x14ac:dyDescent="0.3">
      <c r="B35" s="407" t="s">
        <v>34</v>
      </c>
      <c r="C35" s="408"/>
      <c r="D35" s="409"/>
      <c r="E35" s="460" t="s">
        <v>35</v>
      </c>
      <c r="F35" s="461"/>
      <c r="G35" s="463"/>
    </row>
    <row r="36" spans="2:9" ht="16.5" thickTop="1" thickBot="1" x14ac:dyDescent="0.3">
      <c r="B36" s="29"/>
      <c r="C36" s="29"/>
      <c r="D36" s="29"/>
      <c r="E36" s="29"/>
      <c r="F36" s="29"/>
      <c r="G36" s="30"/>
      <c r="H36" s="31"/>
      <c r="I36" s="32"/>
    </row>
    <row r="37" spans="2:9" ht="15.75" thickTop="1" x14ac:dyDescent="0.25">
      <c r="B37" s="386" t="s">
        <v>36</v>
      </c>
      <c r="C37" s="387"/>
      <c r="D37" s="387"/>
      <c r="E37" s="387"/>
      <c r="F37" s="387"/>
      <c r="G37" s="388"/>
    </row>
    <row r="38" spans="2:9" ht="15.75" thickBot="1" x14ac:dyDescent="0.3">
      <c r="B38" s="389" t="s">
        <v>154</v>
      </c>
      <c r="C38" s="390"/>
      <c r="D38" s="390"/>
      <c r="E38" s="390"/>
      <c r="F38" s="390"/>
      <c r="G38" s="391"/>
    </row>
    <row r="39" spans="2:9" ht="15.75" thickTop="1" x14ac:dyDescent="0.25">
      <c r="B39" s="404" t="s">
        <v>32</v>
      </c>
      <c r="C39" s="405"/>
      <c r="D39" s="406"/>
      <c r="E39" s="458" t="s">
        <v>37</v>
      </c>
      <c r="F39" s="459"/>
      <c r="G39" s="462">
        <v>1000</v>
      </c>
    </row>
    <row r="40" spans="2:9" ht="15.75" thickBot="1" x14ac:dyDescent="0.3">
      <c r="B40" s="407" t="s">
        <v>34</v>
      </c>
      <c r="C40" s="408"/>
      <c r="D40" s="409"/>
      <c r="E40" s="460" t="s">
        <v>38</v>
      </c>
      <c r="F40" s="461"/>
      <c r="G40" s="463"/>
    </row>
    <row r="41" spans="2:9" ht="15.75" thickTop="1" x14ac:dyDescent="0.25">
      <c r="B41" s="29"/>
      <c r="C41" s="29"/>
      <c r="D41" s="29"/>
      <c r="E41" s="29"/>
      <c r="F41" s="29"/>
      <c r="G41" s="30"/>
      <c r="H41" s="31"/>
      <c r="I41" s="32"/>
    </row>
    <row r="42" spans="2:9" ht="27" customHeight="1" x14ac:dyDescent="0.25">
      <c r="B42" s="312" t="s">
        <v>39</v>
      </c>
      <c r="C42" s="312"/>
      <c r="D42" s="312"/>
      <c r="E42" s="312"/>
      <c r="F42" s="312"/>
      <c r="G42" s="312"/>
      <c r="H42" s="34"/>
      <c r="I42" s="34"/>
    </row>
    <row r="43" spans="2:9" x14ac:dyDescent="0.25">
      <c r="B43" s="456" t="s">
        <v>40</v>
      </c>
      <c r="C43" s="457"/>
      <c r="D43" s="457"/>
      <c r="E43" s="457"/>
      <c r="F43" s="457"/>
      <c r="G43" s="457"/>
      <c r="H43" s="457"/>
      <c r="I43" s="457"/>
    </row>
    <row r="46" spans="2:9" ht="15.75" x14ac:dyDescent="0.25">
      <c r="B46" s="7"/>
      <c r="C46" s="8"/>
      <c r="D46" s="9"/>
      <c r="E46" s="10" t="s">
        <v>3</v>
      </c>
      <c r="F46" s="10" t="s">
        <v>4</v>
      </c>
      <c r="G46" s="10" t="s">
        <v>5</v>
      </c>
    </row>
    <row r="47" spans="2:9" ht="15" customHeight="1" x14ac:dyDescent="0.25">
      <c r="B47" s="414" t="s">
        <v>50</v>
      </c>
      <c r="C47" s="414"/>
      <c r="D47" s="52" t="s">
        <v>48</v>
      </c>
      <c r="E47" s="171">
        <f>IF(SUM('Electric Convection Oven'!$G$8:$G$12)&gt;0,SUMIF('Electric Convection Oven'!$E$8:$E$12,"Half",'Electric Convection Oven'!$G$8:$G$12),0)</f>
        <v>0</v>
      </c>
      <c r="F47" s="169">
        <v>275</v>
      </c>
      <c r="G47" s="416">
        <f>'Electric Convection Oven'!H13</f>
        <v>0</v>
      </c>
    </row>
    <row r="48" spans="2:9" ht="15" customHeight="1" x14ac:dyDescent="0.25">
      <c r="B48" s="415"/>
      <c r="C48" s="415"/>
      <c r="D48" s="52" t="s">
        <v>350</v>
      </c>
      <c r="E48" s="171">
        <f>IF(SUM('Electric Convection Oven'!$G$8:$G$12)&gt;0,SUMIF('Electric Convection Oven'!$E$8:$E$12,"Full: &lt;5 Pans",'Electric Convection Oven'!$G$8:$G$12),0)</f>
        <v>0</v>
      </c>
      <c r="F48" s="169">
        <v>500</v>
      </c>
      <c r="G48" s="416"/>
    </row>
    <row r="49" spans="2:8" ht="15.75" customHeight="1" x14ac:dyDescent="0.25">
      <c r="B49" s="415"/>
      <c r="C49" s="415"/>
      <c r="D49" s="52" t="s">
        <v>351</v>
      </c>
      <c r="E49" s="171">
        <f>IF(SUM('Electric Convection Oven'!$G$8:$G$12)&gt;0,SUMIF('Electric Convection Oven'!$E$8:$E$12,"Full: ≥5 Pans",'Electric Convection Oven'!$G$8:$G$12),0)</f>
        <v>0</v>
      </c>
      <c r="F49" s="169">
        <v>500</v>
      </c>
      <c r="G49" s="416"/>
    </row>
    <row r="50" spans="2:8" ht="15.75" thickBot="1" x14ac:dyDescent="0.3"/>
    <row r="51" spans="2:8" ht="16.5" thickTop="1" thickBot="1" x14ac:dyDescent="0.3">
      <c r="B51" s="295" t="s">
        <v>51</v>
      </c>
      <c r="C51" s="296"/>
      <c r="D51" s="296"/>
      <c r="E51" s="296"/>
      <c r="F51" s="296"/>
      <c r="G51" s="297"/>
    </row>
    <row r="52" spans="2:8" ht="16.5" thickTop="1" thickBot="1" x14ac:dyDescent="0.3">
      <c r="B52" s="309" t="s">
        <v>52</v>
      </c>
      <c r="C52" s="310"/>
      <c r="D52" s="310"/>
      <c r="E52" s="310"/>
      <c r="F52" s="310"/>
      <c r="G52" s="311"/>
    </row>
    <row r="53" spans="2:8" ht="15.75" thickTop="1" x14ac:dyDescent="0.25">
      <c r="B53" s="410" t="s">
        <v>53</v>
      </c>
      <c r="C53" s="411"/>
      <c r="D53" s="55" t="s">
        <v>9</v>
      </c>
      <c r="E53" s="419" t="s">
        <v>346</v>
      </c>
      <c r="F53" s="411"/>
      <c r="G53" s="56" t="s">
        <v>11</v>
      </c>
    </row>
    <row r="54" spans="2:8" x14ac:dyDescent="0.25">
      <c r="B54" s="259" t="s">
        <v>48</v>
      </c>
      <c r="C54" s="260"/>
      <c r="D54" s="128" t="s">
        <v>54</v>
      </c>
      <c r="E54" s="324" t="s">
        <v>347</v>
      </c>
      <c r="F54" s="260"/>
      <c r="G54" s="57">
        <v>275</v>
      </c>
    </row>
    <row r="55" spans="2:8" x14ac:dyDescent="0.25">
      <c r="B55" s="417" t="s">
        <v>49</v>
      </c>
      <c r="C55" s="128" t="s">
        <v>344</v>
      </c>
      <c r="D55" s="128" t="s">
        <v>54</v>
      </c>
      <c r="E55" s="420" t="s">
        <v>348</v>
      </c>
      <c r="F55" s="421"/>
      <c r="G55" s="412">
        <v>500</v>
      </c>
    </row>
    <row r="56" spans="2:8" ht="15.75" thickBot="1" x14ac:dyDescent="0.3">
      <c r="B56" s="418"/>
      <c r="C56" s="213" t="s">
        <v>345</v>
      </c>
      <c r="D56" s="136" t="s">
        <v>349</v>
      </c>
      <c r="E56" s="422"/>
      <c r="F56" s="255"/>
      <c r="G56" s="413"/>
    </row>
    <row r="57" spans="2:8" ht="13.5" customHeight="1" thickTop="1" x14ac:dyDescent="0.25">
      <c r="H57" s="76"/>
    </row>
    <row r="58" spans="2:8" x14ac:dyDescent="0.25">
      <c r="B58" s="314" t="s">
        <v>55</v>
      </c>
      <c r="C58" s="314"/>
      <c r="D58" s="314"/>
      <c r="E58" s="314"/>
      <c r="F58" s="314"/>
      <c r="G58" s="314"/>
      <c r="H58" s="78"/>
    </row>
    <row r="59" spans="2:8" x14ac:dyDescent="0.25">
      <c r="B59" s="262" t="s">
        <v>57</v>
      </c>
      <c r="C59" s="262"/>
      <c r="D59" s="262"/>
      <c r="E59" s="262"/>
      <c r="F59" s="262"/>
      <c r="G59" s="262"/>
    </row>
    <row r="62" spans="2:8" ht="15.75" x14ac:dyDescent="0.25">
      <c r="B62" s="7"/>
      <c r="C62" s="8"/>
      <c r="D62" s="9"/>
      <c r="E62" s="10"/>
      <c r="F62" s="10"/>
      <c r="G62" s="10" t="s">
        <v>5</v>
      </c>
    </row>
    <row r="63" spans="2:8" x14ac:dyDescent="0.25">
      <c r="B63" s="278" t="s">
        <v>65</v>
      </c>
      <c r="C63" s="279"/>
      <c r="D63" s="282"/>
      <c r="E63" s="283"/>
      <c r="F63" s="284"/>
      <c r="G63" s="288">
        <f>Dishwasher!I13</f>
        <v>0</v>
      </c>
    </row>
    <row r="64" spans="2:8" x14ac:dyDescent="0.25">
      <c r="B64" s="280"/>
      <c r="C64" s="281"/>
      <c r="D64" s="285"/>
      <c r="E64" s="286"/>
      <c r="F64" s="287"/>
      <c r="G64" s="289"/>
    </row>
    <row r="65" spans="2:8" x14ac:dyDescent="0.25">
      <c r="H65" s="68"/>
    </row>
    <row r="66" spans="2:8" x14ac:dyDescent="0.25">
      <c r="B66" s="402" t="s">
        <v>66</v>
      </c>
      <c r="C66" s="402"/>
      <c r="D66" s="402"/>
      <c r="E66" s="402"/>
      <c r="F66" s="402"/>
      <c r="G66" s="402"/>
      <c r="H66" s="68"/>
    </row>
    <row r="67" spans="2:8" ht="15.75" thickBot="1" x14ac:dyDescent="0.3">
      <c r="B67" s="403" t="s">
        <v>67</v>
      </c>
      <c r="C67" s="403"/>
      <c r="D67" s="403"/>
      <c r="E67" s="403"/>
      <c r="F67" s="403"/>
      <c r="G67" s="403"/>
    </row>
    <row r="68" spans="2:8" ht="15.75" thickTop="1" x14ac:dyDescent="0.25">
      <c r="B68" s="359" t="s">
        <v>68</v>
      </c>
      <c r="C68" s="360"/>
      <c r="D68" s="360"/>
      <c r="E68" s="360"/>
      <c r="F68" s="360"/>
      <c r="G68" s="361"/>
    </row>
    <row r="69" spans="2:8" ht="15.75" customHeight="1" thickBot="1" x14ac:dyDescent="0.3">
      <c r="B69" s="362" t="s">
        <v>69</v>
      </c>
      <c r="C69" s="363"/>
      <c r="D69" s="363"/>
      <c r="E69" s="363"/>
      <c r="F69" s="363"/>
      <c r="G69" s="365"/>
    </row>
    <row r="70" spans="2:8" ht="15.75" thickTop="1" x14ac:dyDescent="0.25">
      <c r="B70" s="384" t="s">
        <v>70</v>
      </c>
      <c r="C70" s="392" t="s">
        <v>71</v>
      </c>
      <c r="D70" s="393"/>
      <c r="E70" s="394"/>
      <c r="F70" s="397" t="s">
        <v>11</v>
      </c>
      <c r="G70" s="373"/>
    </row>
    <row r="71" spans="2:8" x14ac:dyDescent="0.25">
      <c r="B71" s="385"/>
      <c r="C71" s="69" t="s">
        <v>72</v>
      </c>
      <c r="D71" s="81" t="s">
        <v>73</v>
      </c>
      <c r="E71" s="82" t="s">
        <v>74</v>
      </c>
      <c r="F71" s="380"/>
      <c r="G71" s="381"/>
    </row>
    <row r="72" spans="2:8" ht="15" customHeight="1" x14ac:dyDescent="0.25">
      <c r="B72" s="70" t="s">
        <v>75</v>
      </c>
      <c r="C72" s="71" t="s">
        <v>76</v>
      </c>
      <c r="D72" s="81" t="s">
        <v>77</v>
      </c>
      <c r="E72" s="81" t="s">
        <v>78</v>
      </c>
      <c r="F72" s="400">
        <v>200</v>
      </c>
      <c r="G72" s="401"/>
    </row>
    <row r="73" spans="2:8" x14ac:dyDescent="0.25">
      <c r="B73" s="378" t="s">
        <v>79</v>
      </c>
      <c r="C73" s="375" t="s">
        <v>80</v>
      </c>
      <c r="D73" s="375" t="s">
        <v>77</v>
      </c>
      <c r="E73" s="375" t="s">
        <v>81</v>
      </c>
      <c r="F73" s="300">
        <v>1000</v>
      </c>
      <c r="G73" s="302"/>
    </row>
    <row r="74" spans="2:8" ht="15" customHeight="1" x14ac:dyDescent="0.25">
      <c r="B74" s="379"/>
      <c r="C74" s="376"/>
      <c r="D74" s="376"/>
      <c r="E74" s="376"/>
      <c r="F74" s="380"/>
      <c r="G74" s="381"/>
    </row>
    <row r="75" spans="2:8" x14ac:dyDescent="0.25">
      <c r="B75" s="378" t="s">
        <v>82</v>
      </c>
      <c r="C75" s="375" t="s">
        <v>83</v>
      </c>
      <c r="D75" s="375" t="s">
        <v>84</v>
      </c>
      <c r="E75" s="375" t="s">
        <v>85</v>
      </c>
      <c r="F75" s="300">
        <v>2000</v>
      </c>
      <c r="G75" s="302"/>
    </row>
    <row r="76" spans="2:8" ht="15" customHeight="1" x14ac:dyDescent="0.25">
      <c r="B76" s="379"/>
      <c r="C76" s="376"/>
      <c r="D76" s="376"/>
      <c r="E76" s="376"/>
      <c r="F76" s="380"/>
      <c r="G76" s="381"/>
    </row>
    <row r="77" spans="2:8" x14ac:dyDescent="0.25">
      <c r="B77" s="378" t="s">
        <v>365</v>
      </c>
      <c r="C77" s="375" t="s">
        <v>86</v>
      </c>
      <c r="D77" s="375" t="s">
        <v>87</v>
      </c>
      <c r="E77" s="375" t="s">
        <v>88</v>
      </c>
      <c r="F77" s="300">
        <v>2000</v>
      </c>
      <c r="G77" s="302"/>
    </row>
    <row r="78" spans="2:8" ht="15.75" thickBot="1" x14ac:dyDescent="0.3">
      <c r="B78" s="395"/>
      <c r="C78" s="377"/>
      <c r="D78" s="377"/>
      <c r="E78" s="377"/>
      <c r="F78" s="306"/>
      <c r="G78" s="308"/>
      <c r="H78" s="75"/>
    </row>
    <row r="79" spans="2:8" ht="16.5" thickTop="1" thickBot="1" x14ac:dyDescent="0.3">
      <c r="B79" s="72"/>
      <c r="C79" s="73"/>
      <c r="D79" s="29"/>
      <c r="E79" s="29"/>
      <c r="F79" s="74"/>
      <c r="G79" s="74"/>
    </row>
    <row r="80" spans="2:8" ht="15.75" thickTop="1" x14ac:dyDescent="0.25">
      <c r="B80" s="386" t="s">
        <v>68</v>
      </c>
      <c r="C80" s="387"/>
      <c r="D80" s="387"/>
      <c r="E80" s="387"/>
      <c r="F80" s="387"/>
      <c r="G80" s="388"/>
    </row>
    <row r="81" spans="2:8" ht="15.75" customHeight="1" thickBot="1" x14ac:dyDescent="0.3">
      <c r="B81" s="389" t="s">
        <v>89</v>
      </c>
      <c r="C81" s="390"/>
      <c r="D81" s="390"/>
      <c r="E81" s="390"/>
      <c r="F81" s="390"/>
      <c r="G81" s="391"/>
    </row>
    <row r="82" spans="2:8" ht="15.75" thickTop="1" x14ac:dyDescent="0.25">
      <c r="B82" s="384" t="s">
        <v>70</v>
      </c>
      <c r="C82" s="392" t="s">
        <v>90</v>
      </c>
      <c r="D82" s="393"/>
      <c r="E82" s="394"/>
      <c r="F82" s="397" t="s">
        <v>11</v>
      </c>
      <c r="G82" s="373"/>
    </row>
    <row r="83" spans="2:8" x14ac:dyDescent="0.25">
      <c r="B83" s="385"/>
      <c r="C83" s="69" t="s">
        <v>72</v>
      </c>
      <c r="D83" s="81" t="s">
        <v>73</v>
      </c>
      <c r="E83" s="82" t="s">
        <v>74</v>
      </c>
      <c r="F83" s="380"/>
      <c r="G83" s="381"/>
    </row>
    <row r="84" spans="2:8" ht="15" customHeight="1" x14ac:dyDescent="0.25">
      <c r="B84" s="70" t="s">
        <v>75</v>
      </c>
      <c r="C84" s="71" t="s">
        <v>80</v>
      </c>
      <c r="D84" s="81" t="s">
        <v>91</v>
      </c>
      <c r="E84" s="81" t="s">
        <v>92</v>
      </c>
      <c r="F84" s="400">
        <v>200</v>
      </c>
      <c r="G84" s="401"/>
    </row>
    <row r="85" spans="2:8" x14ac:dyDescent="0.25">
      <c r="B85" s="378" t="s">
        <v>79</v>
      </c>
      <c r="C85" s="375" t="s">
        <v>93</v>
      </c>
      <c r="D85" s="398" t="s">
        <v>91</v>
      </c>
      <c r="E85" s="375" t="s">
        <v>94</v>
      </c>
      <c r="F85" s="300">
        <v>1000</v>
      </c>
      <c r="G85" s="302"/>
    </row>
    <row r="86" spans="2:8" ht="15" customHeight="1" x14ac:dyDescent="0.25">
      <c r="B86" s="379"/>
      <c r="C86" s="376"/>
      <c r="D86" s="399"/>
      <c r="E86" s="376"/>
      <c r="F86" s="380"/>
      <c r="G86" s="381"/>
    </row>
    <row r="87" spans="2:8" x14ac:dyDescent="0.25">
      <c r="B87" s="378" t="s">
        <v>364</v>
      </c>
      <c r="C87" s="375" t="s">
        <v>95</v>
      </c>
      <c r="D87" s="375" t="s">
        <v>96</v>
      </c>
      <c r="E87" s="375" t="s">
        <v>97</v>
      </c>
      <c r="F87" s="300">
        <v>750</v>
      </c>
      <c r="G87" s="302"/>
    </row>
    <row r="88" spans="2:8" ht="15" customHeight="1" x14ac:dyDescent="0.25">
      <c r="B88" s="379"/>
      <c r="C88" s="376"/>
      <c r="D88" s="376"/>
      <c r="E88" s="376"/>
      <c r="F88" s="380"/>
      <c r="G88" s="381"/>
    </row>
    <row r="89" spans="2:8" x14ac:dyDescent="0.25">
      <c r="B89" s="378" t="s">
        <v>82</v>
      </c>
      <c r="C89" s="80" t="s">
        <v>98</v>
      </c>
      <c r="D89" s="375" t="s">
        <v>99</v>
      </c>
      <c r="E89" s="375" t="s">
        <v>100</v>
      </c>
      <c r="F89" s="300">
        <v>2000</v>
      </c>
      <c r="G89" s="302"/>
    </row>
    <row r="90" spans="2:8" ht="15" customHeight="1" x14ac:dyDescent="0.25">
      <c r="B90" s="379"/>
      <c r="C90" s="79"/>
      <c r="D90" s="376"/>
      <c r="E90" s="376"/>
      <c r="F90" s="380"/>
      <c r="G90" s="381"/>
    </row>
    <row r="91" spans="2:8" x14ac:dyDescent="0.25">
      <c r="B91" s="378" t="s">
        <v>365</v>
      </c>
      <c r="C91" s="375" t="s">
        <v>101</v>
      </c>
      <c r="D91" s="375" t="s">
        <v>99</v>
      </c>
      <c r="E91" s="375" t="s">
        <v>88</v>
      </c>
      <c r="F91" s="300">
        <v>2000</v>
      </c>
      <c r="G91" s="302"/>
    </row>
    <row r="92" spans="2:8" ht="15" customHeight="1" thickBot="1" x14ac:dyDescent="0.3">
      <c r="B92" s="395"/>
      <c r="C92" s="377"/>
      <c r="D92" s="377"/>
      <c r="E92" s="377"/>
      <c r="F92" s="306"/>
      <c r="G92" s="308"/>
    </row>
    <row r="93" spans="2:8" ht="15.75" thickTop="1" x14ac:dyDescent="0.25">
      <c r="B93" s="72"/>
      <c r="C93" s="73"/>
      <c r="D93" s="29"/>
      <c r="E93" s="29"/>
      <c r="F93" s="74"/>
      <c r="G93" s="74"/>
    </row>
    <row r="94" spans="2:8" ht="15" customHeight="1" x14ac:dyDescent="0.25">
      <c r="B94" s="314" t="s">
        <v>102</v>
      </c>
      <c r="C94" s="314"/>
      <c r="D94" s="314"/>
      <c r="E94" s="314"/>
      <c r="F94" s="314"/>
      <c r="G94" s="314"/>
    </row>
    <row r="95" spans="2:8" x14ac:dyDescent="0.25">
      <c r="B95" s="396" t="s">
        <v>103</v>
      </c>
      <c r="C95" s="396"/>
      <c r="D95" s="396"/>
      <c r="E95" s="396"/>
      <c r="F95" s="396"/>
      <c r="G95" s="396"/>
    </row>
    <row r="96" spans="2:8" x14ac:dyDescent="0.25">
      <c r="B96" s="314" t="s">
        <v>104</v>
      </c>
      <c r="C96" s="314"/>
      <c r="D96" s="314"/>
      <c r="E96" s="314"/>
      <c r="F96" s="314"/>
      <c r="G96" s="314"/>
      <c r="H96" s="75"/>
    </row>
    <row r="97" spans="2:8" ht="72.75" customHeight="1" x14ac:dyDescent="0.25">
      <c r="H97" s="76"/>
    </row>
    <row r="98" spans="2:8" ht="36.75" customHeight="1" x14ac:dyDescent="0.25">
      <c r="H98" s="76"/>
    </row>
    <row r="99" spans="2:8" ht="17.25" customHeight="1" x14ac:dyDescent="0.25">
      <c r="B99" s="7"/>
      <c r="C99" s="8"/>
      <c r="D99" s="9"/>
      <c r="E99" s="10" t="s">
        <v>118</v>
      </c>
      <c r="F99" s="10" t="s">
        <v>119</v>
      </c>
      <c r="G99" s="10" t="s">
        <v>5</v>
      </c>
      <c r="H99" s="76"/>
    </row>
    <row r="100" spans="2:8" ht="15.75" x14ac:dyDescent="0.25">
      <c r="B100" s="292" t="s">
        <v>117</v>
      </c>
      <c r="C100" s="292"/>
      <c r="D100" s="172"/>
      <c r="E100" s="173">
        <f>SUMIF('Electric Griddle'!$G$8:$G$12,"&gt;0",'Electric Griddle'!$G$8:$G$12)</f>
        <v>0</v>
      </c>
      <c r="F100" s="174">
        <v>200</v>
      </c>
      <c r="G100" s="93">
        <f>'Electric Griddle'!H13</f>
        <v>0</v>
      </c>
    </row>
    <row r="101" spans="2:8" ht="15.75" thickBot="1" x14ac:dyDescent="0.3"/>
    <row r="102" spans="2:8" ht="15.75" thickTop="1" x14ac:dyDescent="0.25">
      <c r="B102" s="359" t="s">
        <v>120</v>
      </c>
      <c r="C102" s="360"/>
      <c r="D102" s="360"/>
      <c r="E102" s="360"/>
      <c r="F102" s="360"/>
      <c r="G102" s="361"/>
    </row>
    <row r="103" spans="2:8" ht="21" customHeight="1" thickBot="1" x14ac:dyDescent="0.3">
      <c r="B103" s="362" t="s">
        <v>153</v>
      </c>
      <c r="C103" s="363"/>
      <c r="D103" s="364"/>
      <c r="E103" s="364"/>
      <c r="F103" s="363"/>
      <c r="G103" s="365"/>
    </row>
    <row r="104" spans="2:8" ht="15.75" thickTop="1" x14ac:dyDescent="0.25">
      <c r="B104" s="366" t="s">
        <v>121</v>
      </c>
      <c r="C104" s="367"/>
      <c r="D104" s="370" t="s">
        <v>122</v>
      </c>
      <c r="E104" s="370"/>
      <c r="F104" s="372" t="s">
        <v>366</v>
      </c>
      <c r="G104" s="373"/>
    </row>
    <row r="105" spans="2:8" ht="15.75" thickBot="1" x14ac:dyDescent="0.3">
      <c r="B105" s="368" t="s">
        <v>123</v>
      </c>
      <c r="C105" s="369"/>
      <c r="D105" s="371" t="s">
        <v>124</v>
      </c>
      <c r="E105" s="371"/>
      <c r="F105" s="307"/>
      <c r="G105" s="308"/>
    </row>
    <row r="106" spans="2:8" ht="15.75" thickTop="1" x14ac:dyDescent="0.25">
      <c r="B106" s="29"/>
      <c r="C106" s="29"/>
      <c r="D106" s="29"/>
      <c r="E106" s="29"/>
      <c r="F106" s="30"/>
      <c r="G106" s="31"/>
    </row>
    <row r="107" spans="2:8" ht="15.75" customHeight="1" x14ac:dyDescent="0.25">
      <c r="B107" s="312" t="s">
        <v>145</v>
      </c>
      <c r="C107" s="312"/>
      <c r="D107" s="312"/>
      <c r="E107" s="312"/>
      <c r="F107" s="312"/>
      <c r="G107" s="312"/>
    </row>
    <row r="108" spans="2:8" ht="15.75" customHeight="1" x14ac:dyDescent="0.25">
      <c r="B108" s="374" t="s">
        <v>146</v>
      </c>
      <c r="C108" s="374"/>
      <c r="D108" s="374"/>
      <c r="E108" s="374"/>
      <c r="F108" s="374"/>
      <c r="G108" s="374"/>
    </row>
    <row r="109" spans="2:8" x14ac:dyDescent="0.25">
      <c r="H109" s="32"/>
    </row>
    <row r="110" spans="2:8" ht="15" customHeight="1" x14ac:dyDescent="0.25">
      <c r="H110" s="89"/>
    </row>
    <row r="111" spans="2:8" ht="15.75" x14ac:dyDescent="0.25">
      <c r="B111" s="7"/>
      <c r="C111" s="8"/>
      <c r="D111" s="9"/>
      <c r="E111" s="10" t="s">
        <v>3</v>
      </c>
      <c r="F111" s="10" t="s">
        <v>4</v>
      </c>
      <c r="G111" s="10" t="s">
        <v>5</v>
      </c>
      <c r="H111" s="90"/>
    </row>
    <row r="112" spans="2:8" x14ac:dyDescent="0.25">
      <c r="B112" s="278" t="s">
        <v>130</v>
      </c>
      <c r="C112" s="279"/>
      <c r="D112" s="67" t="s">
        <v>48</v>
      </c>
      <c r="E112" s="173">
        <f>IF(SUM('Hot Food Holding Cabinet'!$H$7:$H$11)&gt;0,SUMIF('Hot Food Holding Cabinet'!$E$7:$E$11,"Half",'Hot Food Holding Cabinet'!$H$7:$H$11),0)</f>
        <v>0</v>
      </c>
      <c r="F112" s="169">
        <v>200</v>
      </c>
      <c r="G112" s="382">
        <f>'Hot Food Holding Cabinet'!I12</f>
        <v>0</v>
      </c>
    </row>
    <row r="113" spans="2:7" x14ac:dyDescent="0.25">
      <c r="B113" s="280"/>
      <c r="C113" s="281"/>
      <c r="D113" s="53" t="s">
        <v>49</v>
      </c>
      <c r="E113" s="173">
        <f>IF(SUM('Hot Food Holding Cabinet'!$H$7:$H$11)&gt;0,SUMIF('Hot Food Holding Cabinet'!$E$7:$E$11,"Full",'Hot Food Holding Cabinet'!$H$7:$H$11),0)</f>
        <v>0</v>
      </c>
      <c r="F113" s="169">
        <v>800</v>
      </c>
      <c r="G113" s="383"/>
    </row>
    <row r="114" spans="2:7" ht="15.75" thickBot="1" x14ac:dyDescent="0.3"/>
    <row r="115" spans="2:7" ht="15.75" thickTop="1" x14ac:dyDescent="0.25">
      <c r="B115" s="351" t="s">
        <v>132</v>
      </c>
      <c r="C115" s="352"/>
      <c r="D115" s="352"/>
      <c r="E115" s="352"/>
      <c r="F115" s="352"/>
      <c r="G115" s="353"/>
    </row>
    <row r="116" spans="2:7" ht="15.75" thickBot="1" x14ac:dyDescent="0.3">
      <c r="B116" s="354" t="s">
        <v>152</v>
      </c>
      <c r="C116" s="355"/>
      <c r="D116" s="355"/>
      <c r="E116" s="355"/>
      <c r="F116" s="355"/>
      <c r="G116" s="356"/>
    </row>
    <row r="117" spans="2:7" ht="15.75" thickTop="1" x14ac:dyDescent="0.25">
      <c r="B117" s="348" t="s">
        <v>133</v>
      </c>
      <c r="C117" s="349"/>
      <c r="D117" s="350" t="s">
        <v>134</v>
      </c>
      <c r="E117" s="350"/>
      <c r="F117" s="357" t="s">
        <v>11</v>
      </c>
      <c r="G117" s="358"/>
    </row>
    <row r="118" spans="2:7" x14ac:dyDescent="0.25">
      <c r="B118" s="336" t="s">
        <v>135</v>
      </c>
      <c r="C118" s="337"/>
      <c r="D118" s="340" t="s">
        <v>136</v>
      </c>
      <c r="E118" s="340"/>
      <c r="F118" s="342" t="s">
        <v>368</v>
      </c>
      <c r="G118" s="345" t="s">
        <v>137</v>
      </c>
    </row>
    <row r="119" spans="2:7" x14ac:dyDescent="0.25">
      <c r="B119" s="336" t="s">
        <v>138</v>
      </c>
      <c r="C119" s="337"/>
      <c r="D119" s="340" t="s">
        <v>139</v>
      </c>
      <c r="E119" s="340"/>
      <c r="F119" s="343"/>
      <c r="G119" s="346"/>
    </row>
    <row r="120" spans="2:7" ht="15" customHeight="1" thickBot="1" x14ac:dyDescent="0.3">
      <c r="B120" s="338" t="s">
        <v>140</v>
      </c>
      <c r="C120" s="339"/>
      <c r="D120" s="341" t="s">
        <v>141</v>
      </c>
      <c r="E120" s="341"/>
      <c r="F120" s="344"/>
      <c r="G120" s="347"/>
    </row>
    <row r="121" spans="2:7" ht="15" customHeight="1" thickTop="1" x14ac:dyDescent="0.25">
      <c r="B121" s="333" t="s">
        <v>142</v>
      </c>
      <c r="C121" s="333"/>
      <c r="D121" s="333"/>
      <c r="E121" s="333"/>
      <c r="F121" s="333"/>
      <c r="G121" s="333"/>
    </row>
    <row r="122" spans="2:7" x14ac:dyDescent="0.25">
      <c r="B122" s="334" t="s">
        <v>143</v>
      </c>
      <c r="C122" s="334"/>
      <c r="D122" s="334"/>
      <c r="E122" s="334"/>
      <c r="F122" s="334"/>
      <c r="G122" s="334"/>
    </row>
    <row r="123" spans="2:7" x14ac:dyDescent="0.25">
      <c r="B123" s="335" t="s">
        <v>144</v>
      </c>
      <c r="C123" s="335"/>
      <c r="D123" s="335"/>
      <c r="E123" s="335"/>
      <c r="F123" s="335"/>
      <c r="G123" s="335"/>
    </row>
    <row r="124" spans="2:7" ht="15" customHeight="1" x14ac:dyDescent="0.25"/>
    <row r="125" spans="2:7" ht="15" customHeight="1" x14ac:dyDescent="0.25"/>
    <row r="126" spans="2:7" ht="15" customHeight="1" x14ac:dyDescent="0.25">
      <c r="B126" s="7"/>
      <c r="C126" s="8"/>
      <c r="D126" s="9"/>
      <c r="E126" s="10"/>
      <c r="F126" s="10"/>
      <c r="G126" s="10" t="s">
        <v>5</v>
      </c>
    </row>
    <row r="127" spans="2:7" x14ac:dyDescent="0.25">
      <c r="B127" s="278" t="s">
        <v>155</v>
      </c>
      <c r="C127" s="279"/>
      <c r="D127" s="282"/>
      <c r="E127" s="283"/>
      <c r="F127" s="284"/>
      <c r="G127" s="288">
        <f>'Ice Machine'!H13</f>
        <v>0</v>
      </c>
    </row>
    <row r="128" spans="2:7" x14ac:dyDescent="0.25">
      <c r="B128" s="280"/>
      <c r="C128" s="281"/>
      <c r="D128" s="285"/>
      <c r="E128" s="286"/>
      <c r="F128" s="287"/>
      <c r="G128" s="289"/>
    </row>
    <row r="129" spans="2:7" ht="15.75" thickBot="1" x14ac:dyDescent="0.3"/>
    <row r="130" spans="2:7" ht="16.5" thickTop="1" thickBot="1" x14ac:dyDescent="0.3">
      <c r="B130" s="315" t="s">
        <v>156</v>
      </c>
      <c r="C130" s="316"/>
      <c r="D130" s="316"/>
      <c r="E130" s="316"/>
      <c r="F130" s="316"/>
      <c r="G130" s="317"/>
    </row>
    <row r="131" spans="2:7" ht="16.5" thickTop="1" thickBot="1" x14ac:dyDescent="0.3">
      <c r="B131" s="315" t="s">
        <v>157</v>
      </c>
      <c r="C131" s="316"/>
      <c r="D131" s="316"/>
      <c r="E131" s="316"/>
      <c r="F131" s="316"/>
      <c r="G131" s="317"/>
    </row>
    <row r="132" spans="2:7" ht="15.75" thickTop="1" x14ac:dyDescent="0.25">
      <c r="B132" s="318" t="s">
        <v>70</v>
      </c>
      <c r="C132" s="319"/>
      <c r="D132" s="319"/>
      <c r="E132" s="319"/>
      <c r="F132" s="319"/>
      <c r="G132" s="320"/>
    </row>
    <row r="133" spans="2:7" x14ac:dyDescent="0.25">
      <c r="B133" s="321" t="s">
        <v>158</v>
      </c>
      <c r="C133" s="322"/>
      <c r="D133" s="322"/>
      <c r="E133" s="322"/>
      <c r="F133" s="322"/>
      <c r="G133" s="323"/>
    </row>
    <row r="134" spans="2:7" ht="30.6" customHeight="1" x14ac:dyDescent="0.25">
      <c r="B134" s="321" t="s">
        <v>159</v>
      </c>
      <c r="C134" s="322"/>
      <c r="D134" s="322"/>
      <c r="E134" s="322"/>
      <c r="F134" s="322"/>
      <c r="G134" s="323"/>
    </row>
    <row r="135" spans="2:7" x14ac:dyDescent="0.25">
      <c r="B135" s="321" t="s">
        <v>160</v>
      </c>
      <c r="C135" s="322"/>
      <c r="D135" s="322"/>
      <c r="E135" s="322"/>
      <c r="F135" s="322"/>
      <c r="G135" s="323"/>
    </row>
    <row r="136" spans="2:7" ht="20.25" customHeight="1" x14ac:dyDescent="0.25">
      <c r="B136" s="270" t="s">
        <v>161</v>
      </c>
      <c r="C136" s="271"/>
      <c r="D136" s="271"/>
      <c r="E136" s="271"/>
      <c r="F136" s="327" t="s">
        <v>162</v>
      </c>
      <c r="G136" s="328"/>
    </row>
    <row r="137" spans="2:7" ht="28.5" customHeight="1" x14ac:dyDescent="0.25">
      <c r="B137" s="259" t="s">
        <v>370</v>
      </c>
      <c r="C137" s="324"/>
      <c r="D137" s="324"/>
      <c r="E137" s="324"/>
      <c r="F137" s="329">
        <v>100</v>
      </c>
      <c r="G137" s="330"/>
    </row>
    <row r="138" spans="2:7" ht="15" customHeight="1" x14ac:dyDescent="0.25">
      <c r="B138" s="259" t="s">
        <v>163</v>
      </c>
      <c r="C138" s="324"/>
      <c r="D138" s="324"/>
      <c r="E138" s="324"/>
      <c r="F138" s="329">
        <v>200</v>
      </c>
      <c r="G138" s="330"/>
    </row>
    <row r="139" spans="2:7" ht="15" customHeight="1" x14ac:dyDescent="0.25">
      <c r="B139" s="259" t="s">
        <v>164</v>
      </c>
      <c r="C139" s="324"/>
      <c r="D139" s="324"/>
      <c r="E139" s="324"/>
      <c r="F139" s="329">
        <v>200</v>
      </c>
      <c r="G139" s="330"/>
    </row>
    <row r="140" spans="2:7" x14ac:dyDescent="0.25">
      <c r="B140" s="259" t="s">
        <v>165</v>
      </c>
      <c r="C140" s="324"/>
      <c r="D140" s="324"/>
      <c r="E140" s="324"/>
      <c r="F140" s="329">
        <v>250</v>
      </c>
      <c r="G140" s="330"/>
    </row>
    <row r="141" spans="2:7" ht="15.75" thickBot="1" x14ac:dyDescent="0.3">
      <c r="B141" s="325" t="s">
        <v>166</v>
      </c>
      <c r="C141" s="326"/>
      <c r="D141" s="326"/>
      <c r="E141" s="326"/>
      <c r="F141" s="331">
        <v>500</v>
      </c>
      <c r="G141" s="332"/>
    </row>
    <row r="142" spans="2:7" ht="15.75" thickTop="1" x14ac:dyDescent="0.25">
      <c r="B142" s="29"/>
      <c r="C142" s="29"/>
      <c r="D142" s="29"/>
      <c r="E142" s="29"/>
      <c r="F142" s="30"/>
      <c r="G142" s="31"/>
    </row>
    <row r="143" spans="2:7" x14ac:dyDescent="0.25">
      <c r="B143" s="314" t="s">
        <v>167</v>
      </c>
      <c r="C143" s="314"/>
      <c r="D143" s="314"/>
      <c r="E143" s="314"/>
      <c r="F143" s="314"/>
      <c r="G143" s="314"/>
    </row>
    <row r="144" spans="2:7" x14ac:dyDescent="0.25">
      <c r="B144" s="262" t="s">
        <v>168</v>
      </c>
      <c r="C144" s="262"/>
      <c r="D144" s="262"/>
      <c r="E144" s="262"/>
      <c r="F144" s="262"/>
      <c r="G144" s="262"/>
    </row>
    <row r="145" spans="2:11" x14ac:dyDescent="0.25">
      <c r="B145" s="118"/>
      <c r="C145" s="118"/>
      <c r="D145" s="118"/>
      <c r="E145" s="118"/>
      <c r="F145" s="118"/>
      <c r="G145" s="118"/>
    </row>
    <row r="146" spans="2:11" x14ac:dyDescent="0.25">
      <c r="H146" s="32"/>
    </row>
    <row r="147" spans="2:11" ht="51.75" customHeight="1" x14ac:dyDescent="0.25">
      <c r="B147" s="7"/>
      <c r="C147" s="8"/>
      <c r="D147" s="9"/>
      <c r="E147" s="10"/>
      <c r="F147" s="10"/>
      <c r="G147" s="10" t="s">
        <v>5</v>
      </c>
      <c r="H147" s="34"/>
    </row>
    <row r="148" spans="2:11" ht="32.25" customHeight="1" x14ac:dyDescent="0.25">
      <c r="B148" s="278" t="s">
        <v>177</v>
      </c>
      <c r="C148" s="279"/>
      <c r="D148" s="282"/>
      <c r="E148" s="283"/>
      <c r="F148" s="284"/>
      <c r="G148" s="288">
        <f>Refrigerator!I13</f>
        <v>0</v>
      </c>
      <c r="H148" s="118"/>
    </row>
    <row r="149" spans="2:11" x14ac:dyDescent="0.25">
      <c r="B149" s="280"/>
      <c r="C149" s="281"/>
      <c r="D149" s="285"/>
      <c r="E149" s="286"/>
      <c r="F149" s="287"/>
      <c r="G149" s="289"/>
      <c r="H149" s="118"/>
    </row>
    <row r="150" spans="2:11" ht="15.75" thickBot="1" x14ac:dyDescent="0.3"/>
    <row r="151" spans="2:11" ht="15.75" thickTop="1" x14ac:dyDescent="0.25">
      <c r="B151" s="256" t="s">
        <v>178</v>
      </c>
      <c r="C151" s="257"/>
      <c r="D151" s="257"/>
      <c r="E151" s="257"/>
      <c r="F151" s="257"/>
      <c r="G151" s="258"/>
      <c r="H151" s="125"/>
      <c r="I151" s="125"/>
    </row>
    <row r="152" spans="2:11" x14ac:dyDescent="0.25">
      <c r="B152" s="270" t="s">
        <v>193</v>
      </c>
      <c r="C152" s="271"/>
      <c r="D152" s="272"/>
      <c r="E152" s="263" t="s">
        <v>194</v>
      </c>
      <c r="F152" s="263"/>
      <c r="G152" s="264"/>
      <c r="H152" s="125"/>
      <c r="I152" s="125"/>
    </row>
    <row r="153" spans="2:11" x14ac:dyDescent="0.25">
      <c r="B153" s="270" t="s">
        <v>179</v>
      </c>
      <c r="C153" s="271"/>
      <c r="D153" s="271"/>
      <c r="E153" s="271"/>
      <c r="F153" s="271"/>
      <c r="G153" s="272"/>
      <c r="H153" s="127"/>
      <c r="I153" s="58"/>
    </row>
    <row r="154" spans="2:11" x14ac:dyDescent="0.25">
      <c r="B154" s="259" t="s">
        <v>181</v>
      </c>
      <c r="C154" s="260"/>
      <c r="D154" s="57">
        <v>100</v>
      </c>
      <c r="E154" s="259" t="s">
        <v>181</v>
      </c>
      <c r="F154" s="260"/>
      <c r="G154" s="135">
        <v>150</v>
      </c>
      <c r="H154" s="127"/>
      <c r="I154" s="58"/>
    </row>
    <row r="155" spans="2:11" x14ac:dyDescent="0.25">
      <c r="B155" s="259" t="s">
        <v>182</v>
      </c>
      <c r="C155" s="260"/>
      <c r="D155" s="57">
        <v>150</v>
      </c>
      <c r="E155" s="259" t="s">
        <v>183</v>
      </c>
      <c r="F155" s="260"/>
      <c r="G155" s="135">
        <v>150</v>
      </c>
      <c r="H155" s="78"/>
      <c r="I155" s="126"/>
      <c r="J155" s="125"/>
      <c r="K155" s="126"/>
    </row>
    <row r="156" spans="2:11" x14ac:dyDescent="0.25">
      <c r="B156" s="259" t="s">
        <v>184</v>
      </c>
      <c r="C156" s="260"/>
      <c r="D156" s="57">
        <v>200</v>
      </c>
      <c r="E156" s="259" t="s">
        <v>185</v>
      </c>
      <c r="F156" s="260"/>
      <c r="G156" s="135">
        <v>200</v>
      </c>
      <c r="H156" s="58"/>
      <c r="I156" s="127"/>
      <c r="J156" s="58"/>
      <c r="K156" s="58"/>
    </row>
    <row r="157" spans="2:11" ht="15.75" thickBot="1" x14ac:dyDescent="0.3">
      <c r="B157" s="254" t="s">
        <v>186</v>
      </c>
      <c r="C157" s="255"/>
      <c r="D157" s="221">
        <v>200</v>
      </c>
      <c r="E157" s="265" t="s">
        <v>186</v>
      </c>
      <c r="F157" s="266"/>
      <c r="G157" s="220">
        <v>200</v>
      </c>
      <c r="H157" s="58"/>
      <c r="I157" s="127"/>
      <c r="J157" s="58"/>
      <c r="K157" s="58"/>
    </row>
    <row r="158" spans="2:11" ht="15.75" thickTop="1" x14ac:dyDescent="0.25">
      <c r="B158" s="267" t="s">
        <v>180</v>
      </c>
      <c r="C158" s="268"/>
      <c r="D158" s="268"/>
      <c r="E158" s="268"/>
      <c r="F158" s="268"/>
      <c r="G158" s="269"/>
      <c r="H158" s="58"/>
      <c r="I158" s="127"/>
      <c r="J158" s="126"/>
      <c r="K158" s="126"/>
    </row>
    <row r="159" spans="2:11" x14ac:dyDescent="0.25">
      <c r="B159" s="259" t="s">
        <v>181</v>
      </c>
      <c r="C159" s="260"/>
      <c r="D159" s="222">
        <v>150</v>
      </c>
      <c r="E159" s="259" t="s">
        <v>181</v>
      </c>
      <c r="F159" s="260"/>
      <c r="G159" s="135">
        <v>150</v>
      </c>
      <c r="H159" s="58"/>
      <c r="I159" s="127"/>
      <c r="J159" s="126"/>
      <c r="K159" s="126"/>
    </row>
    <row r="160" spans="2:11" x14ac:dyDescent="0.25">
      <c r="B160" s="259" t="s">
        <v>183</v>
      </c>
      <c r="C160" s="260"/>
      <c r="D160" s="222">
        <v>150</v>
      </c>
      <c r="E160" s="259" t="s">
        <v>183</v>
      </c>
      <c r="F160" s="260"/>
      <c r="G160" s="135">
        <v>150</v>
      </c>
      <c r="H160" s="58"/>
      <c r="I160" s="127"/>
      <c r="J160" s="126"/>
      <c r="K160" s="126"/>
    </row>
    <row r="161" spans="2:11" x14ac:dyDescent="0.25">
      <c r="B161" s="259" t="s">
        <v>185</v>
      </c>
      <c r="C161" s="260"/>
      <c r="D161" s="222">
        <v>200</v>
      </c>
      <c r="E161" s="259" t="s">
        <v>185</v>
      </c>
      <c r="F161" s="260"/>
      <c r="G161" s="135">
        <v>200</v>
      </c>
      <c r="H161" s="58"/>
      <c r="I161" s="127"/>
      <c r="J161" s="58"/>
      <c r="K161" s="78"/>
    </row>
    <row r="162" spans="2:11" ht="15.75" thickBot="1" x14ac:dyDescent="0.3">
      <c r="B162" s="254" t="s">
        <v>186</v>
      </c>
      <c r="C162" s="255"/>
      <c r="D162" s="221">
        <v>200</v>
      </c>
      <c r="E162" s="254" t="s">
        <v>186</v>
      </c>
      <c r="F162" s="255"/>
      <c r="G162" s="137">
        <v>200</v>
      </c>
      <c r="H162" s="58"/>
      <c r="I162" s="127"/>
      <c r="J162" s="131"/>
      <c r="K162" s="131"/>
    </row>
    <row r="163" spans="2:11" ht="15" customHeight="1" thickTop="1" x14ac:dyDescent="0.25">
      <c r="B163" s="73"/>
      <c r="C163" s="73"/>
      <c r="D163" s="73"/>
      <c r="E163" s="129"/>
      <c r="F163" s="125"/>
      <c r="G163" s="130"/>
      <c r="H163" s="77"/>
      <c r="I163" s="77"/>
    </row>
    <row r="164" spans="2:11" x14ac:dyDescent="0.25">
      <c r="B164" s="261" t="s">
        <v>188</v>
      </c>
      <c r="C164" s="261"/>
      <c r="D164" s="261"/>
      <c r="E164" s="261"/>
      <c r="F164" s="261"/>
      <c r="G164" s="261"/>
    </row>
    <row r="165" spans="2:11" x14ac:dyDescent="0.25">
      <c r="B165" s="262" t="s">
        <v>189</v>
      </c>
      <c r="C165" s="262"/>
      <c r="D165" s="262"/>
      <c r="E165" s="262"/>
      <c r="F165" s="262"/>
      <c r="G165" s="262"/>
    </row>
    <row r="168" spans="2:11" ht="15.75" x14ac:dyDescent="0.25">
      <c r="B168" s="7"/>
      <c r="C168" s="8"/>
      <c r="D168" s="9"/>
      <c r="E168" s="10"/>
      <c r="F168" s="10"/>
      <c r="G168" s="10" t="s">
        <v>5</v>
      </c>
    </row>
    <row r="169" spans="2:11" x14ac:dyDescent="0.25">
      <c r="B169" s="278" t="s">
        <v>196</v>
      </c>
      <c r="C169" s="279"/>
      <c r="D169" s="282"/>
      <c r="E169" s="283"/>
      <c r="F169" s="284"/>
      <c r="G169" s="288">
        <f>Freezer!I13</f>
        <v>0</v>
      </c>
    </row>
    <row r="170" spans="2:11" x14ac:dyDescent="0.25">
      <c r="B170" s="280"/>
      <c r="C170" s="281"/>
      <c r="D170" s="285"/>
      <c r="E170" s="286"/>
      <c r="F170" s="287"/>
      <c r="G170" s="289"/>
      <c r="I170" s="138"/>
    </row>
    <row r="171" spans="2:11" ht="15.75" thickBot="1" x14ac:dyDescent="0.3">
      <c r="I171" s="138"/>
    </row>
    <row r="172" spans="2:11" ht="15.75" thickTop="1" x14ac:dyDescent="0.25">
      <c r="B172" s="256" t="s">
        <v>178</v>
      </c>
      <c r="C172" s="257"/>
      <c r="D172" s="257"/>
      <c r="E172" s="257"/>
      <c r="F172" s="257"/>
      <c r="G172" s="258"/>
      <c r="I172" s="139"/>
    </row>
    <row r="173" spans="2:11" x14ac:dyDescent="0.25">
      <c r="B173" s="270" t="s">
        <v>193</v>
      </c>
      <c r="C173" s="271"/>
      <c r="D173" s="272"/>
      <c r="E173" s="263" t="s">
        <v>194</v>
      </c>
      <c r="F173" s="263"/>
      <c r="G173" s="264"/>
      <c r="I173" s="84"/>
    </row>
    <row r="174" spans="2:11" x14ac:dyDescent="0.25">
      <c r="B174" s="270" t="s">
        <v>179</v>
      </c>
      <c r="C174" s="271"/>
      <c r="D174" s="271"/>
      <c r="E174" s="271"/>
      <c r="F174" s="271"/>
      <c r="G174" s="272"/>
      <c r="I174" s="84"/>
    </row>
    <row r="175" spans="2:11" x14ac:dyDescent="0.25">
      <c r="B175" s="259" t="s">
        <v>181</v>
      </c>
      <c r="C175" s="260"/>
      <c r="D175" s="57">
        <v>100</v>
      </c>
      <c r="E175" s="259" t="s">
        <v>181</v>
      </c>
      <c r="F175" s="260"/>
      <c r="G175" s="57">
        <v>100</v>
      </c>
      <c r="I175" s="84"/>
    </row>
    <row r="176" spans="2:11" x14ac:dyDescent="0.25">
      <c r="B176" s="259" t="s">
        <v>182</v>
      </c>
      <c r="C176" s="260"/>
      <c r="D176" s="57">
        <v>250</v>
      </c>
      <c r="E176" s="259" t="s">
        <v>183</v>
      </c>
      <c r="F176" s="260"/>
      <c r="G176" s="57">
        <v>250</v>
      </c>
      <c r="I176" s="84"/>
    </row>
    <row r="177" spans="2:9" x14ac:dyDescent="0.25">
      <c r="B177" s="259" t="s">
        <v>184</v>
      </c>
      <c r="C177" s="260"/>
      <c r="D177" s="57">
        <v>275</v>
      </c>
      <c r="E177" s="259" t="s">
        <v>185</v>
      </c>
      <c r="F177" s="260"/>
      <c r="G177" s="57">
        <v>275</v>
      </c>
      <c r="H177" s="32"/>
      <c r="I177" s="140"/>
    </row>
    <row r="178" spans="2:9" ht="15" customHeight="1" thickBot="1" x14ac:dyDescent="0.3">
      <c r="B178" s="254" t="s">
        <v>186</v>
      </c>
      <c r="C178" s="255"/>
      <c r="D178" s="221">
        <v>300</v>
      </c>
      <c r="E178" s="265" t="s">
        <v>186</v>
      </c>
      <c r="F178" s="266"/>
      <c r="G178" s="221">
        <v>300</v>
      </c>
      <c r="H178" s="34"/>
      <c r="I178" s="34"/>
    </row>
    <row r="179" spans="2:9" ht="15" customHeight="1" thickTop="1" x14ac:dyDescent="0.25">
      <c r="B179" s="267" t="s">
        <v>180</v>
      </c>
      <c r="C179" s="268"/>
      <c r="D179" s="268"/>
      <c r="E179" s="268"/>
      <c r="F179" s="268"/>
      <c r="G179" s="269"/>
      <c r="H179" s="118"/>
      <c r="I179" s="118"/>
    </row>
    <row r="180" spans="2:9" ht="14.45" customHeight="1" x14ac:dyDescent="0.25">
      <c r="B180" s="259" t="s">
        <v>181</v>
      </c>
      <c r="C180" s="260"/>
      <c r="D180" s="222">
        <v>100</v>
      </c>
      <c r="E180" s="259" t="s">
        <v>181</v>
      </c>
      <c r="F180" s="260"/>
      <c r="G180" s="214">
        <v>100</v>
      </c>
    </row>
    <row r="181" spans="2:9" ht="14.45" customHeight="1" x14ac:dyDescent="0.25">
      <c r="B181" s="259" t="s">
        <v>183</v>
      </c>
      <c r="C181" s="260"/>
      <c r="D181" s="222">
        <v>100</v>
      </c>
      <c r="E181" s="259" t="s">
        <v>183</v>
      </c>
      <c r="F181" s="260"/>
      <c r="G181" s="214">
        <v>100</v>
      </c>
    </row>
    <row r="182" spans="2:9" x14ac:dyDescent="0.25">
      <c r="B182" s="259" t="s">
        <v>185</v>
      </c>
      <c r="C182" s="260"/>
      <c r="D182" s="222">
        <v>150</v>
      </c>
      <c r="E182" s="259" t="s">
        <v>185</v>
      </c>
      <c r="F182" s="260"/>
      <c r="G182" s="214">
        <v>150</v>
      </c>
    </row>
    <row r="183" spans="2:9" ht="15.75" thickBot="1" x14ac:dyDescent="0.3">
      <c r="B183" s="254" t="s">
        <v>186</v>
      </c>
      <c r="C183" s="255"/>
      <c r="D183" s="221">
        <v>200</v>
      </c>
      <c r="E183" s="254" t="s">
        <v>186</v>
      </c>
      <c r="F183" s="255"/>
      <c r="G183" s="221">
        <v>200</v>
      </c>
    </row>
    <row r="184" spans="2:9" ht="15.75" thickTop="1" x14ac:dyDescent="0.25">
      <c r="B184" s="224"/>
      <c r="C184" s="224"/>
      <c r="D184" s="225"/>
      <c r="E184" s="224"/>
      <c r="F184" s="224"/>
      <c r="G184" s="226"/>
    </row>
    <row r="185" spans="2:9" x14ac:dyDescent="0.25">
      <c r="B185" s="314" t="s">
        <v>188</v>
      </c>
      <c r="C185" s="314"/>
      <c r="D185" s="314"/>
      <c r="E185" s="314"/>
      <c r="F185" s="314"/>
      <c r="G185" s="314"/>
    </row>
    <row r="186" spans="2:9" x14ac:dyDescent="0.25">
      <c r="B186" s="262" t="s">
        <v>197</v>
      </c>
      <c r="C186" s="262"/>
      <c r="D186" s="262"/>
      <c r="E186" s="262"/>
      <c r="F186" s="262"/>
      <c r="G186" s="262"/>
    </row>
    <row r="189" spans="2:9" ht="15.75" x14ac:dyDescent="0.25">
      <c r="B189" s="7"/>
      <c r="C189" s="8"/>
      <c r="D189" s="9"/>
      <c r="E189" s="10" t="s">
        <v>3</v>
      </c>
      <c r="F189" s="10" t="s">
        <v>4</v>
      </c>
      <c r="G189" s="10" t="s">
        <v>5</v>
      </c>
    </row>
    <row r="190" spans="2:9" ht="33" customHeight="1" x14ac:dyDescent="0.25">
      <c r="B190" s="292" t="s">
        <v>199</v>
      </c>
      <c r="C190" s="292"/>
      <c r="D190" s="172"/>
      <c r="E190" s="173">
        <f>SUM('Steam Cooker'!G8:G12)</f>
        <v>0</v>
      </c>
      <c r="F190" s="174">
        <v>1000</v>
      </c>
      <c r="G190" s="93">
        <f>'Steam Cooker'!H13</f>
        <v>0</v>
      </c>
    </row>
    <row r="191" spans="2:9" ht="15.75" thickBot="1" x14ac:dyDescent="0.3"/>
    <row r="192" spans="2:9" ht="16.5" thickTop="1" thickBot="1" x14ac:dyDescent="0.3">
      <c r="B192" s="295" t="s">
        <v>201</v>
      </c>
      <c r="C192" s="296"/>
      <c r="D192" s="296"/>
      <c r="E192" s="296"/>
      <c r="F192" s="296"/>
      <c r="G192" s="297"/>
    </row>
    <row r="193" spans="2:12" ht="16.5" thickTop="1" thickBot="1" x14ac:dyDescent="0.3">
      <c r="B193" s="309" t="s">
        <v>210</v>
      </c>
      <c r="C193" s="310"/>
      <c r="D193" s="310"/>
      <c r="E193" s="310"/>
      <c r="F193" s="310"/>
      <c r="G193" s="311"/>
      <c r="H193" s="32"/>
    </row>
    <row r="194" spans="2:12" ht="28.5" customHeight="1" thickTop="1" x14ac:dyDescent="0.25">
      <c r="B194" s="146" t="s">
        <v>202</v>
      </c>
      <c r="C194" s="149" t="s">
        <v>121</v>
      </c>
      <c r="D194" s="153" t="s">
        <v>45</v>
      </c>
      <c r="E194" s="298" t="s">
        <v>11</v>
      </c>
      <c r="F194" s="298"/>
      <c r="G194" s="299"/>
      <c r="H194" s="34"/>
    </row>
    <row r="195" spans="2:12" x14ac:dyDescent="0.25">
      <c r="B195" s="147" t="s">
        <v>203</v>
      </c>
      <c r="C195" s="150">
        <v>0.5</v>
      </c>
      <c r="D195" s="151">
        <v>400</v>
      </c>
      <c r="E195" s="300">
        <v>1000</v>
      </c>
      <c r="F195" s="301"/>
      <c r="G195" s="302"/>
      <c r="H195" s="33"/>
    </row>
    <row r="196" spans="2:12" x14ac:dyDescent="0.25">
      <c r="B196" s="147" t="s">
        <v>204</v>
      </c>
      <c r="C196" s="150">
        <v>0.5</v>
      </c>
      <c r="D196" s="151">
        <v>530</v>
      </c>
      <c r="E196" s="303"/>
      <c r="F196" s="304"/>
      <c r="G196" s="305"/>
    </row>
    <row r="197" spans="2:12" x14ac:dyDescent="0.25">
      <c r="B197" s="147" t="s">
        <v>205</v>
      </c>
      <c r="C197" s="150">
        <v>0.5</v>
      </c>
      <c r="D197" s="151">
        <v>670</v>
      </c>
      <c r="E197" s="303"/>
      <c r="F197" s="304"/>
      <c r="G197" s="305"/>
    </row>
    <row r="198" spans="2:12" ht="15.75" thickBot="1" x14ac:dyDescent="0.3">
      <c r="B198" s="148" t="s">
        <v>206</v>
      </c>
      <c r="C198" s="152">
        <v>0.5</v>
      </c>
      <c r="D198" s="91">
        <v>800</v>
      </c>
      <c r="E198" s="306"/>
      <c r="F198" s="307"/>
      <c r="G198" s="308"/>
    </row>
    <row r="199" spans="2:12" ht="24" customHeight="1" thickTop="1" x14ac:dyDescent="0.25">
      <c r="B199" s="29"/>
      <c r="C199" s="29"/>
      <c r="D199" s="29"/>
      <c r="E199" s="29"/>
      <c r="F199" s="30"/>
      <c r="G199" s="31"/>
    </row>
    <row r="200" spans="2:12" x14ac:dyDescent="0.25">
      <c r="B200" s="312" t="s">
        <v>207</v>
      </c>
      <c r="C200" s="312"/>
      <c r="D200" s="312"/>
      <c r="E200" s="312"/>
      <c r="F200" s="312"/>
      <c r="G200" s="312"/>
    </row>
    <row r="201" spans="2:12" ht="15" customHeight="1" x14ac:dyDescent="0.25">
      <c r="B201" s="313" t="s">
        <v>208</v>
      </c>
      <c r="C201" s="313"/>
      <c r="D201" s="313"/>
      <c r="E201" s="313"/>
      <c r="F201" s="313"/>
      <c r="G201" s="313"/>
      <c r="H201" s="78"/>
      <c r="I201" s="78"/>
      <c r="J201" s="78"/>
      <c r="K201" s="78"/>
      <c r="L201" s="78"/>
    </row>
    <row r="202" spans="2:12" x14ac:dyDescent="0.25">
      <c r="H202" s="139"/>
      <c r="I202" s="139"/>
      <c r="J202" s="139"/>
      <c r="K202" s="139"/>
      <c r="L202" s="139"/>
    </row>
    <row r="203" spans="2:12" ht="15" customHeight="1" x14ac:dyDescent="0.25"/>
    <row r="204" spans="2:12" ht="15.75" x14ac:dyDescent="0.25">
      <c r="B204" s="7"/>
      <c r="C204" s="8"/>
      <c r="D204" s="9"/>
      <c r="E204" s="10" t="s">
        <v>3</v>
      </c>
      <c r="F204" s="10" t="s">
        <v>4</v>
      </c>
      <c r="G204" s="10" t="s">
        <v>5</v>
      </c>
    </row>
    <row r="205" spans="2:12" ht="15" customHeight="1" x14ac:dyDescent="0.25">
      <c r="B205" s="292" t="s">
        <v>224</v>
      </c>
      <c r="C205" s="292"/>
      <c r="D205" s="172"/>
      <c r="E205" s="173">
        <f>SUM('Low-Flow Spray Nozzle'!H6:H10)</f>
        <v>0</v>
      </c>
      <c r="F205" s="174">
        <v>50</v>
      </c>
      <c r="G205" s="93">
        <f>'Low-Flow Spray Nozzle'!I11</f>
        <v>0</v>
      </c>
    </row>
    <row r="207" spans="2:12" x14ac:dyDescent="0.25">
      <c r="B207" s="293" t="s">
        <v>211</v>
      </c>
      <c r="C207" s="293"/>
      <c r="D207" s="293"/>
      <c r="E207" s="293"/>
      <c r="F207" s="293"/>
      <c r="G207" s="293"/>
    </row>
    <row r="208" spans="2:12" x14ac:dyDescent="0.25">
      <c r="B208" s="139"/>
      <c r="C208" s="139"/>
      <c r="D208" s="139"/>
      <c r="E208" s="139"/>
      <c r="F208" s="139"/>
      <c r="G208" s="139"/>
    </row>
    <row r="209" spans="1:11" x14ac:dyDescent="0.25">
      <c r="B209" s="294" t="s">
        <v>212</v>
      </c>
      <c r="C209" s="294"/>
      <c r="D209" s="294" t="s">
        <v>213</v>
      </c>
      <c r="E209" s="294"/>
      <c r="F209" s="294" t="s">
        <v>11</v>
      </c>
      <c r="G209" s="294"/>
    </row>
    <row r="210" spans="1:11" ht="12.75" customHeight="1" x14ac:dyDescent="0.25">
      <c r="B210" s="290" t="s">
        <v>214</v>
      </c>
      <c r="C210" s="290"/>
      <c r="D210" s="291">
        <v>1</v>
      </c>
      <c r="E210" s="291"/>
      <c r="F210" s="277">
        <v>50</v>
      </c>
      <c r="G210" s="277"/>
    </row>
    <row r="211" spans="1:11" ht="15" customHeight="1" x14ac:dyDescent="0.25">
      <c r="B211" s="290" t="s">
        <v>215</v>
      </c>
      <c r="C211" s="290"/>
      <c r="D211" s="291">
        <v>1.2</v>
      </c>
      <c r="E211" s="291"/>
      <c r="F211" s="277"/>
      <c r="G211" s="277"/>
    </row>
    <row r="212" spans="1:11" x14ac:dyDescent="0.25">
      <c r="B212" s="290" t="s">
        <v>216</v>
      </c>
      <c r="C212" s="290"/>
      <c r="D212" s="291">
        <v>1.28</v>
      </c>
      <c r="E212" s="291"/>
      <c r="F212" s="277"/>
      <c r="G212" s="277"/>
    </row>
    <row r="213" spans="1:11" ht="15" customHeight="1" x14ac:dyDescent="0.25">
      <c r="H213" s="78"/>
      <c r="I213" s="78"/>
      <c r="J213" s="78"/>
      <c r="K213" s="78"/>
    </row>
    <row r="214" spans="1:11" ht="15" customHeight="1" x14ac:dyDescent="0.25">
      <c r="H214" s="78"/>
      <c r="I214" s="78"/>
      <c r="J214" s="78"/>
      <c r="K214" s="78"/>
    </row>
    <row r="215" spans="1:11" ht="30.75" customHeight="1" x14ac:dyDescent="0.25">
      <c r="B215" s="7"/>
      <c r="C215" s="8"/>
      <c r="D215" s="9"/>
      <c r="E215" s="10"/>
      <c r="F215" s="10"/>
      <c r="G215" s="10" t="s">
        <v>5</v>
      </c>
      <c r="H215" s="78"/>
      <c r="I215" s="78"/>
      <c r="J215" s="78"/>
      <c r="K215" s="78"/>
    </row>
    <row r="216" spans="1:11" ht="30.75" customHeight="1" x14ac:dyDescent="0.25">
      <c r="B216" s="278" t="s">
        <v>225</v>
      </c>
      <c r="C216" s="279"/>
      <c r="D216" s="282"/>
      <c r="E216" s="283"/>
      <c r="F216" s="284"/>
      <c r="G216" s="288">
        <f>'Demand Controlled Ventilation'!K20</f>
        <v>0</v>
      </c>
      <c r="H216" s="78"/>
      <c r="I216" s="78"/>
      <c r="J216" s="78"/>
      <c r="K216" s="78"/>
    </row>
    <row r="217" spans="1:11" x14ac:dyDescent="0.25">
      <c r="B217" s="280"/>
      <c r="C217" s="281"/>
      <c r="D217" s="285"/>
      <c r="E217" s="286"/>
      <c r="F217" s="287"/>
      <c r="G217" s="289"/>
    </row>
    <row r="219" spans="1:11" x14ac:dyDescent="0.25">
      <c r="B219" s="276" t="s">
        <v>226</v>
      </c>
      <c r="C219" s="276"/>
      <c r="D219" s="276"/>
      <c r="E219" s="276"/>
      <c r="F219" s="276"/>
      <c r="G219" s="276"/>
    </row>
    <row r="220" spans="1:11" x14ac:dyDescent="0.25">
      <c r="B220" s="276" t="s">
        <v>227</v>
      </c>
      <c r="C220" s="276"/>
      <c r="D220" s="276"/>
      <c r="E220" s="276"/>
      <c r="F220" s="276"/>
      <c r="G220" s="276"/>
    </row>
    <row r="221" spans="1:11" x14ac:dyDescent="0.25">
      <c r="B221" s="276" t="s">
        <v>228</v>
      </c>
      <c r="C221" s="276"/>
      <c r="D221" s="276"/>
      <c r="E221" s="276"/>
      <c r="F221" s="276"/>
      <c r="G221" s="276"/>
    </row>
    <row r="222" spans="1:11" x14ac:dyDescent="0.25">
      <c r="B222" s="276" t="s">
        <v>229</v>
      </c>
      <c r="C222" s="276"/>
      <c r="D222" s="276"/>
      <c r="E222" s="276"/>
      <c r="F222" s="276"/>
      <c r="G222" s="276"/>
    </row>
    <row r="224" spans="1:11" ht="15.75" x14ac:dyDescent="0.25">
      <c r="A224" s="273" t="s">
        <v>26</v>
      </c>
      <c r="B224" s="273"/>
      <c r="C224" s="273"/>
      <c r="D224" s="273"/>
      <c r="E224" s="273"/>
      <c r="F224" s="273"/>
      <c r="G224" s="48">
        <f>SUM(G216,G205,G190,G169,G148,G127,G112,G100,G63,G47,G29,G9)</f>
        <v>0</v>
      </c>
    </row>
  </sheetData>
  <sheetProtection algorithmName="SHA-512" hashValue="5KI6y9ZhElDuaWiL2fqYMeU9Pca05NPwmFVBolaBdv5cNSagPGLHFwgQjuqXo4NDc+H7SvzGLmzdoNt/heN/5Q==" saltValue="22FeYDk+SAeKvCaurHkHgA==" spinCount="100000" sheet="1" objects="1" scenarios="1"/>
  <mergeCells count="237">
    <mergeCell ref="B20:E20"/>
    <mergeCell ref="D19:E19"/>
    <mergeCell ref="B33:G33"/>
    <mergeCell ref="B37:G37"/>
    <mergeCell ref="B38:G38"/>
    <mergeCell ref="B42:G42"/>
    <mergeCell ref="B43:I43"/>
    <mergeCell ref="E34:F34"/>
    <mergeCell ref="E35:F35"/>
    <mergeCell ref="G34:G35"/>
    <mergeCell ref="E39:F39"/>
    <mergeCell ref="E40:F40"/>
    <mergeCell ref="G39:G40"/>
    <mergeCell ref="C1:G1"/>
    <mergeCell ref="B2:G2"/>
    <mergeCell ref="C3:D3"/>
    <mergeCell ref="F3:G3"/>
    <mergeCell ref="B35:D35"/>
    <mergeCell ref="B32:G32"/>
    <mergeCell ref="B25:G25"/>
    <mergeCell ref="B29:C30"/>
    <mergeCell ref="G29:G30"/>
    <mergeCell ref="B24:H24"/>
    <mergeCell ref="D16:E16"/>
    <mergeCell ref="D21:E21"/>
    <mergeCell ref="D22:E22"/>
    <mergeCell ref="B17:E17"/>
    <mergeCell ref="F16:G18"/>
    <mergeCell ref="G9:G12"/>
    <mergeCell ref="C4:D4"/>
    <mergeCell ref="F4:G4"/>
    <mergeCell ref="C5:D5"/>
    <mergeCell ref="B34:D34"/>
    <mergeCell ref="B9:C12"/>
    <mergeCell ref="B14:G14"/>
    <mergeCell ref="B15:G15"/>
    <mergeCell ref="D18:E18"/>
    <mergeCell ref="E73:E74"/>
    <mergeCell ref="F72:G72"/>
    <mergeCell ref="B73:B74"/>
    <mergeCell ref="C73:C74"/>
    <mergeCell ref="F73:G74"/>
    <mergeCell ref="B70:B71"/>
    <mergeCell ref="C70:E70"/>
    <mergeCell ref="B63:C64"/>
    <mergeCell ref="G63:G64"/>
    <mergeCell ref="B58:G58"/>
    <mergeCell ref="B59:G59"/>
    <mergeCell ref="B68:G68"/>
    <mergeCell ref="B69:G69"/>
    <mergeCell ref="B66:G66"/>
    <mergeCell ref="B67:G67"/>
    <mergeCell ref="F70:G71"/>
    <mergeCell ref="D63:F64"/>
    <mergeCell ref="B39:D39"/>
    <mergeCell ref="B40:D40"/>
    <mergeCell ref="B53:C53"/>
    <mergeCell ref="B51:G51"/>
    <mergeCell ref="B52:G52"/>
    <mergeCell ref="B54:C54"/>
    <mergeCell ref="G55:G56"/>
    <mergeCell ref="B47:C49"/>
    <mergeCell ref="G47:G49"/>
    <mergeCell ref="B55:B56"/>
    <mergeCell ref="E53:F53"/>
    <mergeCell ref="E54:F54"/>
    <mergeCell ref="E55:F56"/>
    <mergeCell ref="E87:E88"/>
    <mergeCell ref="E89:E90"/>
    <mergeCell ref="E91:E92"/>
    <mergeCell ref="F77:G78"/>
    <mergeCell ref="D77:D78"/>
    <mergeCell ref="E77:E78"/>
    <mergeCell ref="B91:B92"/>
    <mergeCell ref="C91:C92"/>
    <mergeCell ref="B89:B90"/>
    <mergeCell ref="B87:B88"/>
    <mergeCell ref="C87:C88"/>
    <mergeCell ref="F87:G88"/>
    <mergeCell ref="D85:D86"/>
    <mergeCell ref="D87:D88"/>
    <mergeCell ref="F84:G84"/>
    <mergeCell ref="B85:B86"/>
    <mergeCell ref="C85:C86"/>
    <mergeCell ref="F85:G86"/>
    <mergeCell ref="E75:E76"/>
    <mergeCell ref="C77:C78"/>
    <mergeCell ref="B75:B76"/>
    <mergeCell ref="C75:C76"/>
    <mergeCell ref="F75:G76"/>
    <mergeCell ref="D75:D76"/>
    <mergeCell ref="D73:D74"/>
    <mergeCell ref="B112:C113"/>
    <mergeCell ref="G112:G113"/>
    <mergeCell ref="B82:B83"/>
    <mergeCell ref="B80:G80"/>
    <mergeCell ref="B81:G81"/>
    <mergeCell ref="C82:E82"/>
    <mergeCell ref="B77:B78"/>
    <mergeCell ref="B100:C100"/>
    <mergeCell ref="B94:G94"/>
    <mergeCell ref="B95:G95"/>
    <mergeCell ref="B96:G96"/>
    <mergeCell ref="F82:G83"/>
    <mergeCell ref="F89:G90"/>
    <mergeCell ref="F91:G92"/>
    <mergeCell ref="D89:D90"/>
    <mergeCell ref="D91:D92"/>
    <mergeCell ref="E85:E86"/>
    <mergeCell ref="B117:C117"/>
    <mergeCell ref="D117:E117"/>
    <mergeCell ref="B115:G115"/>
    <mergeCell ref="B116:G116"/>
    <mergeCell ref="F117:G117"/>
    <mergeCell ref="B102:G102"/>
    <mergeCell ref="B103:G103"/>
    <mergeCell ref="B104:C104"/>
    <mergeCell ref="B105:C105"/>
    <mergeCell ref="D104:E104"/>
    <mergeCell ref="D105:E105"/>
    <mergeCell ref="F104:G105"/>
    <mergeCell ref="B107:G107"/>
    <mergeCell ref="B108:G108"/>
    <mergeCell ref="B127:C128"/>
    <mergeCell ref="D127:F128"/>
    <mergeCell ref="G127:G128"/>
    <mergeCell ref="B121:G121"/>
    <mergeCell ref="B122:G122"/>
    <mergeCell ref="B123:G123"/>
    <mergeCell ref="B118:C118"/>
    <mergeCell ref="B119:C119"/>
    <mergeCell ref="B120:C120"/>
    <mergeCell ref="D118:E118"/>
    <mergeCell ref="D119:E119"/>
    <mergeCell ref="D120:E120"/>
    <mergeCell ref="F118:F120"/>
    <mergeCell ref="G118:G120"/>
    <mergeCell ref="B143:G143"/>
    <mergeCell ref="B144:G144"/>
    <mergeCell ref="B148:C149"/>
    <mergeCell ref="D148:F149"/>
    <mergeCell ref="G148:G149"/>
    <mergeCell ref="B130:G130"/>
    <mergeCell ref="B131:G131"/>
    <mergeCell ref="B132:G132"/>
    <mergeCell ref="B133:G133"/>
    <mergeCell ref="B134:G134"/>
    <mergeCell ref="B135:G135"/>
    <mergeCell ref="B136:E136"/>
    <mergeCell ref="B137:E137"/>
    <mergeCell ref="B138:E138"/>
    <mergeCell ref="B139:E139"/>
    <mergeCell ref="B140:E140"/>
    <mergeCell ref="B141:E141"/>
    <mergeCell ref="F136:G136"/>
    <mergeCell ref="F139:G139"/>
    <mergeCell ref="F140:G140"/>
    <mergeCell ref="F141:G141"/>
    <mergeCell ref="F137:G137"/>
    <mergeCell ref="F138:G138"/>
    <mergeCell ref="B190:C190"/>
    <mergeCell ref="B179:G179"/>
    <mergeCell ref="B185:G185"/>
    <mergeCell ref="B186:G186"/>
    <mergeCell ref="B169:C170"/>
    <mergeCell ref="D169:F170"/>
    <mergeCell ref="G169:G170"/>
    <mergeCell ref="B173:D173"/>
    <mergeCell ref="E173:G173"/>
    <mergeCell ref="B174:G174"/>
    <mergeCell ref="B175:C175"/>
    <mergeCell ref="E175:F175"/>
    <mergeCell ref="B176:C176"/>
    <mergeCell ref="E176:F176"/>
    <mergeCell ref="B177:C177"/>
    <mergeCell ref="E177:F177"/>
    <mergeCell ref="B178:C178"/>
    <mergeCell ref="E178:F178"/>
    <mergeCell ref="B180:C180"/>
    <mergeCell ref="E180:F180"/>
    <mergeCell ref="B181:C181"/>
    <mergeCell ref="E181:F181"/>
    <mergeCell ref="B182:C182"/>
    <mergeCell ref="E182:F182"/>
    <mergeCell ref="B209:C209"/>
    <mergeCell ref="D209:E209"/>
    <mergeCell ref="F209:G209"/>
    <mergeCell ref="B192:G192"/>
    <mergeCell ref="E194:G194"/>
    <mergeCell ref="E195:G198"/>
    <mergeCell ref="B193:G193"/>
    <mergeCell ref="B200:G200"/>
    <mergeCell ref="B201:G201"/>
    <mergeCell ref="B151:G151"/>
    <mergeCell ref="B152:D152"/>
    <mergeCell ref="B154:C154"/>
    <mergeCell ref="B155:C155"/>
    <mergeCell ref="B156:C156"/>
    <mergeCell ref="B157:C157"/>
    <mergeCell ref="A224:F224"/>
    <mergeCell ref="A7:G7"/>
    <mergeCell ref="B219:G219"/>
    <mergeCell ref="B220:G220"/>
    <mergeCell ref="B221:G221"/>
    <mergeCell ref="B222:G222"/>
    <mergeCell ref="F210:G212"/>
    <mergeCell ref="B216:C217"/>
    <mergeCell ref="D216:F217"/>
    <mergeCell ref="G216:G217"/>
    <mergeCell ref="B210:C210"/>
    <mergeCell ref="B211:C211"/>
    <mergeCell ref="B212:C212"/>
    <mergeCell ref="D210:E210"/>
    <mergeCell ref="D211:E211"/>
    <mergeCell ref="D212:E212"/>
    <mergeCell ref="B205:C205"/>
    <mergeCell ref="B207:G207"/>
    <mergeCell ref="E152:G152"/>
    <mergeCell ref="E154:F154"/>
    <mergeCell ref="E155:F155"/>
    <mergeCell ref="E156:F156"/>
    <mergeCell ref="E157:F157"/>
    <mergeCell ref="E159:F159"/>
    <mergeCell ref="E160:F160"/>
    <mergeCell ref="E161:F161"/>
    <mergeCell ref="E162:F162"/>
    <mergeCell ref="B158:G158"/>
    <mergeCell ref="B153:G153"/>
    <mergeCell ref="B183:C183"/>
    <mergeCell ref="E183:F183"/>
    <mergeCell ref="B172:G172"/>
    <mergeCell ref="B159:C159"/>
    <mergeCell ref="B160:C160"/>
    <mergeCell ref="B161:C161"/>
    <mergeCell ref="B162:C162"/>
    <mergeCell ref="B164:G164"/>
    <mergeCell ref="B165:G165"/>
  </mergeCells>
  <hyperlinks>
    <hyperlink ref="E29:E30" location="Fryer!A1" display="Fryer!A1" xr:uid="{00000000-0004-0000-0000-000001000000}"/>
    <hyperlink ref="E47:E48" location="'Electric Convection Oven'!A1" display="'Electric Convection Oven'!A1" xr:uid="{00000000-0004-0000-0000-000002000000}"/>
    <hyperlink ref="G63:G64" location="Dishwasher!A1" display="Dishwasher!A1" xr:uid="{00000000-0004-0000-0000-000003000000}"/>
    <hyperlink ref="E100" location="'Electric Griddle'!A1" display="'Electric Griddle'!A1" xr:uid="{00000000-0004-0000-0000-000004000000}"/>
    <hyperlink ref="G127:G128" location="'Ice Machine'!A1" display="'Ice Machine'!A1" xr:uid="{00000000-0004-0000-0000-000005000000}"/>
    <hyperlink ref="G148:G149" location="Refrigerator!A1" display="Refrigerator!A1" xr:uid="{00000000-0004-0000-0000-000006000000}"/>
    <hyperlink ref="E112:E113" location="'Hot Food Holding Cabinet'!A1" display="'Hot Food Holding Cabinet'!A1" xr:uid="{00000000-0004-0000-0000-000007000000}"/>
    <hyperlink ref="G169:G170" location="Freezer!A1" display="Freezer!A1" xr:uid="{00000000-0004-0000-0000-000008000000}"/>
    <hyperlink ref="E190" location="'Steam Cooker'!A1" display="'Steam Cooker'!A1" xr:uid="{00000000-0004-0000-0000-000009000000}"/>
    <hyperlink ref="E205" location="'Low-Flow Spray Nozzle'!A1" display="'Low-Flow Spray Nozzle'!A1" xr:uid="{00000000-0004-0000-0000-00000A000000}"/>
    <hyperlink ref="G216:G217" location="'Demand Controlled Ventilation'!A1" display="'Demand Controlled Ventilation'!A1" xr:uid="{00000000-0004-0000-0000-00000B000000}"/>
    <hyperlink ref="E11:E12" location="'Electric Combination Oven'!A1" display="'Electric Combination Oven'!A1" xr:uid="{7B3A55A8-E006-427E-9DBD-8DCDAFF594B1}"/>
    <hyperlink ref="E9:E10" location="'Electric Combination Oven'!A1" display="'Electric Combination Oven'!A1" xr:uid="{00000000-0004-0000-0000-000000000000}"/>
    <hyperlink ref="E49" location="'Electric Convection Oven'!A1" display="'Electric Convection Oven'!A1" xr:uid="{42C3DD7C-4C01-45E3-8385-CB65D93343DB}"/>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8CA56A5-8E88-4E1D-8B9C-56C74E71535F}">
          <x14:formula1>
            <xm:f>'Lookup Tables'!$C$2:$C$6</xm:f>
          </x14:formula1>
          <xm:sqref>F4:G4</xm:sqref>
        </x14:dataValidation>
        <x14:dataValidation type="list" allowBlank="1" showInputMessage="1" showErrorMessage="1" xr:uid="{C06613C3-C961-4BDA-A837-60F64EBE7C0E}">
          <x14:formula1>
            <xm:f>'Lookup Tables'!$A$2:$A$6</xm:f>
          </x14:formula1>
          <xm:sqref>C4:D4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T34"/>
  <sheetViews>
    <sheetView showGridLines="0" workbookViewId="0">
      <selection activeCell="X12" sqref="X12"/>
    </sheetView>
  </sheetViews>
  <sheetFormatPr defaultRowHeight="15" x14ac:dyDescent="0.25"/>
  <cols>
    <col min="2" max="2" width="19.7109375" customWidth="1"/>
    <col min="3" max="3" width="18.140625" customWidth="1"/>
    <col min="4" max="9" width="12.85546875" customWidth="1"/>
    <col min="11" max="11" width="30.140625" hidden="1" customWidth="1"/>
    <col min="12" max="12" width="19.85546875" hidden="1" customWidth="1"/>
    <col min="13" max="13" width="20.42578125" hidden="1" customWidth="1"/>
    <col min="14" max="14" width="9" hidden="1" customWidth="1"/>
    <col min="15" max="15" width="10.140625" hidden="1" customWidth="1"/>
    <col min="16" max="16" width="8.85546875" hidden="1" customWidth="1"/>
    <col min="17" max="17" width="15.140625" hidden="1" customWidth="1"/>
    <col min="18" max="18" width="8.85546875" hidden="1" customWidth="1"/>
    <col min="19" max="19" width="9.140625" hidden="1" customWidth="1"/>
  </cols>
  <sheetData>
    <row r="1" spans="2:20" ht="15.75" thickBot="1" x14ac:dyDescent="0.3">
      <c r="B1" s="28" t="s">
        <v>27</v>
      </c>
    </row>
    <row r="2" spans="2:20" ht="16.149999999999999" customHeight="1" thickBot="1" x14ac:dyDescent="0.3">
      <c r="B2" s="513" t="s">
        <v>198</v>
      </c>
      <c r="C2" s="514"/>
      <c r="D2" s="514"/>
      <c r="E2" s="514"/>
      <c r="F2" s="514"/>
      <c r="G2" s="514"/>
      <c r="H2" s="514"/>
      <c r="I2" s="515"/>
    </row>
    <row r="4" spans="2:20" ht="15.75" x14ac:dyDescent="0.25">
      <c r="B4" s="516" t="s">
        <v>16</v>
      </c>
      <c r="C4" s="517"/>
      <c r="D4" s="517"/>
      <c r="E4" s="517"/>
      <c r="F4" s="517"/>
      <c r="G4" s="517"/>
      <c r="H4" s="517"/>
      <c r="I4" s="517"/>
    </row>
    <row r="5" spans="2:20" x14ac:dyDescent="0.25">
      <c r="B5" s="294" t="s">
        <v>17</v>
      </c>
      <c r="C5" s="294" t="s">
        <v>18</v>
      </c>
      <c r="D5" s="294" t="s">
        <v>19</v>
      </c>
      <c r="E5" s="294" t="s">
        <v>191</v>
      </c>
      <c r="F5" s="294" t="s">
        <v>192</v>
      </c>
      <c r="G5" s="294" t="s">
        <v>63</v>
      </c>
      <c r="H5" s="294" t="s">
        <v>21</v>
      </c>
      <c r="I5" s="294" t="s">
        <v>11</v>
      </c>
    </row>
    <row r="6" spans="2:20" ht="30" x14ac:dyDescent="0.25">
      <c r="B6" s="294"/>
      <c r="C6" s="294"/>
      <c r="D6" s="294"/>
      <c r="E6" s="294"/>
      <c r="F6" s="294"/>
      <c r="G6" s="294"/>
      <c r="H6" s="294"/>
      <c r="I6" s="294"/>
      <c r="K6" s="175"/>
      <c r="L6" s="175" t="s">
        <v>257</v>
      </c>
      <c r="M6" s="175" t="s">
        <v>258</v>
      </c>
      <c r="N6" s="175" t="s">
        <v>11</v>
      </c>
    </row>
    <row r="7" spans="2:20" ht="16.899999999999999" customHeight="1" x14ac:dyDescent="0.25">
      <c r="B7" s="59" t="s">
        <v>195</v>
      </c>
      <c r="C7" s="59" t="s">
        <v>23</v>
      </c>
      <c r="D7" s="60">
        <v>123456789</v>
      </c>
      <c r="E7" s="60" t="s">
        <v>193</v>
      </c>
      <c r="F7" s="60" t="s">
        <v>371</v>
      </c>
      <c r="G7" s="60" t="s">
        <v>181</v>
      </c>
      <c r="H7" s="60">
        <v>1</v>
      </c>
      <c r="I7" s="249">
        <f>N7</f>
        <v>100</v>
      </c>
      <c r="K7" s="133" t="str">
        <f>E7&amp;" "&amp;F7&amp;", "&amp;G7</f>
        <v>Vertical Solid-Door, 0 &lt; V &lt; 15</v>
      </c>
      <c r="L7" s="133">
        <f>IFERROR($H7*INDEX($K$19:$N$34,MATCH($K7,$K$19:$K$34,0),2),0)</f>
        <v>2.3E-2</v>
      </c>
      <c r="M7" s="133">
        <f>IFERROR($H7*INDEX($K$19:$N$34,MATCH($K7,$K$19:$K$34,0),3),0)</f>
        <v>202.58</v>
      </c>
      <c r="N7" s="133">
        <f>IFERROR($H7*INDEX($K$19:$N$34,MATCH($K7,$K$19:$K$34,0),4),0)</f>
        <v>100</v>
      </c>
      <c r="O7" s="58"/>
      <c r="Q7" s="141" t="s">
        <v>43</v>
      </c>
      <c r="R7" s="142"/>
      <c r="S7" s="141" t="s">
        <v>63</v>
      </c>
      <c r="T7" s="84"/>
    </row>
    <row r="8" spans="2:20" x14ac:dyDescent="0.25">
      <c r="B8" s="62"/>
      <c r="C8" s="62"/>
      <c r="D8" s="111"/>
      <c r="E8" s="62"/>
      <c r="F8" s="62"/>
      <c r="G8" s="134"/>
      <c r="H8" s="113"/>
      <c r="I8" s="249">
        <f t="shared" ref="I8:I12" si="0">N8</f>
        <v>0</v>
      </c>
      <c r="K8" s="227" t="str">
        <f t="shared" ref="K8:K12" si="1">E8&amp;" "&amp;F8&amp;", "&amp;G8</f>
        <v xml:space="preserve"> , </v>
      </c>
      <c r="L8" s="227">
        <f t="shared" ref="L8:L12" si="2">IFERROR($H8*INDEX($K$19:$N$34,MATCH($K8,$K$19:$K$34,0),2),0)</f>
        <v>0</v>
      </c>
      <c r="M8" s="227">
        <f t="shared" ref="M8:M12" si="3">IFERROR($H8*INDEX($K$19:$N$34,MATCH($K8,$K$19:$K$34,0),3),0)</f>
        <v>0</v>
      </c>
      <c r="N8" s="227">
        <f t="shared" ref="N8:N12" si="4">IFERROR($H8*INDEX($K$19:$N$34,MATCH($K8,$K$19:$K$34,0),4),0)</f>
        <v>0</v>
      </c>
      <c r="O8" s="84"/>
      <c r="Q8" s="51" t="s">
        <v>371</v>
      </c>
      <c r="R8" s="143"/>
      <c r="S8" s="51" t="s">
        <v>181</v>
      </c>
      <c r="T8" s="84"/>
    </row>
    <row r="9" spans="2:20" x14ac:dyDescent="0.25">
      <c r="B9" s="42"/>
      <c r="C9" s="42"/>
      <c r="D9" s="42"/>
      <c r="E9" s="42"/>
      <c r="F9" s="42"/>
      <c r="G9" s="42"/>
      <c r="H9" s="47"/>
      <c r="I9" s="249">
        <f t="shared" si="0"/>
        <v>0</v>
      </c>
      <c r="K9" s="227" t="str">
        <f t="shared" si="1"/>
        <v xml:space="preserve"> , </v>
      </c>
      <c r="L9" s="227">
        <f t="shared" si="2"/>
        <v>0</v>
      </c>
      <c r="M9" s="227">
        <f t="shared" si="3"/>
        <v>0</v>
      </c>
      <c r="N9" s="227">
        <f t="shared" si="4"/>
        <v>0</v>
      </c>
      <c r="O9" s="84"/>
      <c r="Q9" s="51" t="s">
        <v>372</v>
      </c>
      <c r="R9" s="143"/>
      <c r="S9" s="51" t="s">
        <v>183</v>
      </c>
      <c r="T9" s="84"/>
    </row>
    <row r="10" spans="2:20" x14ac:dyDescent="0.25">
      <c r="B10" s="42"/>
      <c r="C10" s="42"/>
      <c r="D10" s="42"/>
      <c r="E10" s="42"/>
      <c r="F10" s="42"/>
      <c r="G10" s="42"/>
      <c r="H10" s="47"/>
      <c r="I10" s="249">
        <f t="shared" si="0"/>
        <v>0</v>
      </c>
      <c r="K10" s="227" t="str">
        <f t="shared" si="1"/>
        <v xml:space="preserve"> , </v>
      </c>
      <c r="L10" s="227">
        <f t="shared" si="2"/>
        <v>0</v>
      </c>
      <c r="M10" s="227">
        <f t="shared" si="3"/>
        <v>0</v>
      </c>
      <c r="N10" s="227">
        <f t="shared" si="4"/>
        <v>0</v>
      </c>
      <c r="O10" s="84"/>
      <c r="Q10" s="144"/>
      <c r="R10" s="145"/>
      <c r="S10" s="51" t="s">
        <v>185</v>
      </c>
      <c r="T10" s="84"/>
    </row>
    <row r="11" spans="2:20" x14ac:dyDescent="0.25">
      <c r="B11" s="42"/>
      <c r="C11" s="42"/>
      <c r="D11" s="42"/>
      <c r="E11" s="42"/>
      <c r="F11" s="42"/>
      <c r="G11" s="42"/>
      <c r="H11" s="47"/>
      <c r="I11" s="249">
        <f t="shared" si="0"/>
        <v>0</v>
      </c>
      <c r="K11" s="227" t="str">
        <f t="shared" si="1"/>
        <v xml:space="preserve"> , </v>
      </c>
      <c r="L11" s="227">
        <f t="shared" si="2"/>
        <v>0</v>
      </c>
      <c r="M11" s="227">
        <f t="shared" si="3"/>
        <v>0</v>
      </c>
      <c r="N11" s="227">
        <f t="shared" si="4"/>
        <v>0</v>
      </c>
      <c r="O11" s="84"/>
      <c r="Q11" s="141" t="s">
        <v>191</v>
      </c>
      <c r="R11" s="145"/>
      <c r="S11" s="66" t="s">
        <v>187</v>
      </c>
      <c r="T11" s="84"/>
    </row>
    <row r="12" spans="2:20" x14ac:dyDescent="0.25">
      <c r="B12" s="42"/>
      <c r="C12" s="42"/>
      <c r="D12" s="42"/>
      <c r="E12" s="42"/>
      <c r="F12" s="42"/>
      <c r="G12" s="42"/>
      <c r="H12" s="47"/>
      <c r="I12" s="249">
        <f t="shared" si="0"/>
        <v>0</v>
      </c>
      <c r="K12" s="227" t="str">
        <f t="shared" si="1"/>
        <v xml:space="preserve"> , </v>
      </c>
      <c r="L12" s="227">
        <f t="shared" si="2"/>
        <v>0</v>
      </c>
      <c r="M12" s="227">
        <f t="shared" si="3"/>
        <v>0</v>
      </c>
      <c r="N12" s="227">
        <f t="shared" si="4"/>
        <v>0</v>
      </c>
      <c r="O12" s="84" t="str">
        <f>CONCATENATE(F12," ",G12)</f>
        <v xml:space="preserve"> </v>
      </c>
      <c r="Q12" s="51" t="s">
        <v>193</v>
      </c>
      <c r="R12" s="145"/>
      <c r="S12" s="84"/>
      <c r="T12" s="84"/>
    </row>
    <row r="13" spans="2:20" ht="15.75" x14ac:dyDescent="0.25">
      <c r="B13" s="518" t="s">
        <v>26</v>
      </c>
      <c r="C13" s="519"/>
      <c r="D13" s="519"/>
      <c r="E13" s="519"/>
      <c r="F13" s="519"/>
      <c r="G13" s="519"/>
      <c r="H13" s="520"/>
      <c r="I13" s="237">
        <f>SUM(I8:I12)</f>
        <v>0</v>
      </c>
      <c r="Q13" s="51" t="s">
        <v>194</v>
      </c>
      <c r="R13" s="143"/>
      <c r="S13" s="84"/>
      <c r="T13" s="84"/>
    </row>
    <row r="14" spans="2:20" x14ac:dyDescent="0.25">
      <c r="M14" s="87"/>
      <c r="N14" s="143"/>
      <c r="O14" s="87"/>
      <c r="P14" s="87"/>
    </row>
    <row r="15" spans="2:20" x14ac:dyDescent="0.25">
      <c r="M15" s="84"/>
      <c r="N15" s="143"/>
      <c r="O15" s="84"/>
      <c r="P15" s="84"/>
    </row>
    <row r="16" spans="2:20" ht="38.25" x14ac:dyDescent="0.25">
      <c r="B16" s="196" t="s">
        <v>260</v>
      </c>
      <c r="C16" s="23" t="s">
        <v>402</v>
      </c>
      <c r="D16" s="23" t="s">
        <v>258</v>
      </c>
      <c r="E16" s="196" t="s">
        <v>369</v>
      </c>
      <c r="H16" s="211" t="s">
        <v>342</v>
      </c>
      <c r="I16" s="211" t="s">
        <v>401</v>
      </c>
    </row>
    <row r="17" spans="2:14" x14ac:dyDescent="0.25">
      <c r="B17" s="197"/>
      <c r="C17" s="230">
        <f>SUM(L8:L12)</f>
        <v>0</v>
      </c>
      <c r="D17" s="231">
        <f>SUM(M8:M12)</f>
        <v>0</v>
      </c>
      <c r="E17" s="232" t="str">
        <f>IFERROR(C18+D18,"Select Rate and Island from Summary Page")</f>
        <v>Select Rate and Island from Summary Page</v>
      </c>
      <c r="F17" s="233"/>
      <c r="G17" s="233"/>
      <c r="H17" s="234" t="str">
        <f>IFERROR(ROUND(B17/E17,1),"")</f>
        <v/>
      </c>
      <c r="I17" s="235" t="str">
        <f>IFERROR(ROUND((B17-I13)/E17,1),"")</f>
        <v/>
      </c>
    </row>
    <row r="18" spans="2:14" ht="30" hidden="1" x14ac:dyDescent="0.25">
      <c r="C18" s="210" t="e">
        <f>C17*Summary!F5*12</f>
        <v>#VALUE!</v>
      </c>
      <c r="D18" s="210" t="e">
        <f>D17*Summary!G5</f>
        <v>#VALUE!</v>
      </c>
      <c r="K18" s="175" t="s">
        <v>343</v>
      </c>
      <c r="L18" s="175" t="s">
        <v>257</v>
      </c>
      <c r="M18" s="175" t="s">
        <v>258</v>
      </c>
      <c r="N18" s="175" t="s">
        <v>11</v>
      </c>
    </row>
    <row r="19" spans="2:14" x14ac:dyDescent="0.25">
      <c r="K19" s="223" t="s">
        <v>373</v>
      </c>
      <c r="L19" s="66">
        <v>2.3E-2</v>
      </c>
      <c r="M19" s="66">
        <v>202.58</v>
      </c>
      <c r="N19" s="66">
        <v>100</v>
      </c>
    </row>
    <row r="20" spans="2:14" x14ac:dyDescent="0.25">
      <c r="K20" s="66" t="s">
        <v>374</v>
      </c>
      <c r="L20" s="66">
        <v>5.8000000000000003E-2</v>
      </c>
      <c r="M20" s="66">
        <v>504.43</v>
      </c>
      <c r="N20" s="66">
        <v>250</v>
      </c>
    </row>
    <row r="21" spans="2:14" x14ac:dyDescent="0.25">
      <c r="K21" s="66" t="s">
        <v>375</v>
      </c>
      <c r="L21" s="66">
        <v>7.2999999999999995E-2</v>
      </c>
      <c r="M21" s="66">
        <v>640.36</v>
      </c>
      <c r="N21" s="66">
        <v>275</v>
      </c>
    </row>
    <row r="22" spans="2:14" x14ac:dyDescent="0.25">
      <c r="K22" s="66" t="s">
        <v>387</v>
      </c>
      <c r="L22" s="66">
        <v>7.3999999999999996E-2</v>
      </c>
      <c r="M22" s="66">
        <v>649.70000000000005</v>
      </c>
      <c r="N22" s="66">
        <v>300</v>
      </c>
    </row>
    <row r="23" spans="2:14" x14ac:dyDescent="0.25">
      <c r="K23" s="66" t="s">
        <v>376</v>
      </c>
      <c r="L23" s="66">
        <v>4.2999999999999997E-2</v>
      </c>
      <c r="M23" s="66">
        <v>374.13</v>
      </c>
      <c r="N23" s="66">
        <v>100</v>
      </c>
    </row>
    <row r="24" spans="2:14" x14ac:dyDescent="0.25">
      <c r="K24" s="66" t="s">
        <v>377</v>
      </c>
      <c r="L24" s="66">
        <v>7.9000000000000001E-2</v>
      </c>
      <c r="M24" s="66">
        <v>691.68</v>
      </c>
      <c r="N24" s="66">
        <v>100</v>
      </c>
    </row>
    <row r="25" spans="2:14" x14ac:dyDescent="0.25">
      <c r="K25" s="66" t="s">
        <v>378</v>
      </c>
      <c r="L25" s="66">
        <v>0.121</v>
      </c>
      <c r="M25" s="66">
        <v>1062.1500000000001</v>
      </c>
      <c r="N25" s="66">
        <v>150</v>
      </c>
    </row>
    <row r="26" spans="2:14" x14ac:dyDescent="0.25">
      <c r="K26" s="66" t="s">
        <v>386</v>
      </c>
      <c r="L26" s="66">
        <v>0.17</v>
      </c>
      <c r="M26" s="66">
        <v>1485.55</v>
      </c>
      <c r="N26" s="66">
        <v>200</v>
      </c>
    </row>
    <row r="27" spans="2:14" x14ac:dyDescent="0.25">
      <c r="K27" s="66" t="s">
        <v>406</v>
      </c>
      <c r="L27" s="66">
        <v>2.5000000000000001E-2</v>
      </c>
      <c r="M27" s="66">
        <v>216.26</v>
      </c>
      <c r="N27" s="66">
        <v>100</v>
      </c>
    </row>
    <row r="28" spans="2:14" x14ac:dyDescent="0.25">
      <c r="K28" s="66" t="s">
        <v>380</v>
      </c>
      <c r="L28" s="66">
        <v>2.7E-2</v>
      </c>
      <c r="M28" s="66">
        <v>232.69</v>
      </c>
      <c r="N28" s="66">
        <v>250</v>
      </c>
    </row>
    <row r="29" spans="2:14" x14ac:dyDescent="0.25">
      <c r="K29" s="66" t="s">
        <v>381</v>
      </c>
      <c r="L29" s="66">
        <v>2.9000000000000001E-2</v>
      </c>
      <c r="M29" s="66">
        <v>251.85</v>
      </c>
      <c r="N29" s="66">
        <v>275</v>
      </c>
    </row>
    <row r="30" spans="2:14" x14ac:dyDescent="0.25">
      <c r="K30" s="66" t="s">
        <v>388</v>
      </c>
      <c r="L30" s="66">
        <v>3.1E-2</v>
      </c>
      <c r="M30" s="66">
        <v>273.75</v>
      </c>
      <c r="N30" s="66">
        <v>300</v>
      </c>
    </row>
    <row r="31" spans="2:14" x14ac:dyDescent="0.25">
      <c r="K31" s="66" t="s">
        <v>405</v>
      </c>
      <c r="L31" s="66">
        <v>3.5999999999999997E-2</v>
      </c>
      <c r="M31" s="66">
        <v>311.16000000000003</v>
      </c>
      <c r="N31" s="66">
        <v>100</v>
      </c>
    </row>
    <row r="32" spans="2:14" x14ac:dyDescent="0.25">
      <c r="K32" s="66" t="s">
        <v>383</v>
      </c>
      <c r="L32" s="66">
        <v>0.05</v>
      </c>
      <c r="M32" s="66">
        <v>437.09</v>
      </c>
      <c r="N32" s="66">
        <v>100</v>
      </c>
    </row>
    <row r="33" spans="11:14" x14ac:dyDescent="0.25">
      <c r="K33" s="66" t="s">
        <v>384</v>
      </c>
      <c r="L33" s="66">
        <v>6.7000000000000004E-2</v>
      </c>
      <c r="M33" s="66">
        <v>584</v>
      </c>
      <c r="N33" s="66">
        <v>150</v>
      </c>
    </row>
    <row r="34" spans="11:14" x14ac:dyDescent="0.25">
      <c r="K34" s="66" t="s">
        <v>385</v>
      </c>
      <c r="L34" s="66">
        <v>8.5999999999999993E-2</v>
      </c>
      <c r="M34" s="66">
        <v>751.9</v>
      </c>
      <c r="N34" s="66">
        <v>200</v>
      </c>
    </row>
  </sheetData>
  <sheetProtection algorithmName="SHA-512" hashValue="g4Hu2sO0GycVqH+i+6mWF+dDQqdlXluufZYSRWIl7ETdJCBPwgWKHIdDR8hd2sSNo/AbKTaV9upqz+ssrE9j7g==" saltValue="eRkIgYR+4RCUXMRifE/hFQ==" spinCount="100000" sheet="1" objects="1" scenarios="1"/>
  <mergeCells count="11">
    <mergeCell ref="B13:H13"/>
    <mergeCell ref="B2:I2"/>
    <mergeCell ref="B4:I4"/>
    <mergeCell ref="B5:B6"/>
    <mergeCell ref="C5:C6"/>
    <mergeCell ref="D5:D6"/>
    <mergeCell ref="E5:E6"/>
    <mergeCell ref="F5:F6"/>
    <mergeCell ref="G5:G6"/>
    <mergeCell ref="H5:H6"/>
    <mergeCell ref="I5:I6"/>
  </mergeCells>
  <conditionalFormatting sqref="H16:I17">
    <cfRule type="expression" dxfId="3" priority="1">
      <formula>ISBLANK($B$17)</formula>
    </cfRule>
  </conditionalFormatting>
  <dataValidations count="3">
    <dataValidation type="list" allowBlank="1" showInputMessage="1" showErrorMessage="1" sqref="E7:E12" xr:uid="{00000000-0002-0000-0900-000000000000}">
      <formula1>$Q$12:$Q$13</formula1>
    </dataValidation>
    <dataValidation type="list" allowBlank="1" showInputMessage="1" showErrorMessage="1" sqref="G7:G12" xr:uid="{00000000-0002-0000-0900-000001000000}">
      <formula1>$S$8:$S$11</formula1>
    </dataValidation>
    <dataValidation type="list" allowBlank="1" showInputMessage="1" showErrorMessage="1" sqref="F7:F12" xr:uid="{00000000-0002-0000-0900-000002000000}">
      <formula1>$Q$8:$Q$9</formula1>
    </dataValidation>
  </dataValidations>
  <hyperlinks>
    <hyperlink ref="B1" location="Summary!A1" display="Back to Summary Page"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19"/>
  <sheetViews>
    <sheetView showGridLines="0" workbookViewId="0">
      <selection activeCell="B1" sqref="B1"/>
    </sheetView>
  </sheetViews>
  <sheetFormatPr defaultRowHeight="15" x14ac:dyDescent="0.25"/>
  <cols>
    <col min="2" max="2" width="18.28515625" customWidth="1"/>
    <col min="3" max="3" width="20.85546875" customWidth="1"/>
    <col min="4" max="8" width="14.85546875" customWidth="1"/>
    <col min="9" max="9" width="11.85546875" customWidth="1"/>
    <col min="10" max="12" width="9.140625" hidden="1" customWidth="1"/>
    <col min="13" max="14" width="19.85546875" hidden="1" customWidth="1"/>
    <col min="15" max="15" width="20.42578125" hidden="1" customWidth="1"/>
  </cols>
  <sheetData>
    <row r="1" spans="2:14" ht="15.75" thickBot="1" x14ac:dyDescent="0.3">
      <c r="B1" s="28" t="s">
        <v>27</v>
      </c>
    </row>
    <row r="2" spans="2:14" ht="16.149999999999999" customHeight="1" thickBot="1" x14ac:dyDescent="0.3">
      <c r="B2" s="466" t="s">
        <v>200</v>
      </c>
      <c r="C2" s="467"/>
      <c r="D2" s="467"/>
      <c r="E2" s="467"/>
      <c r="F2" s="467"/>
      <c r="G2" s="467"/>
      <c r="H2" s="468"/>
    </row>
    <row r="4" spans="2:14" ht="15.75" x14ac:dyDescent="0.25">
      <c r="B4" s="521" t="s">
        <v>16</v>
      </c>
      <c r="C4" s="522"/>
      <c r="D4" s="522"/>
      <c r="E4" s="522"/>
      <c r="F4" s="522"/>
      <c r="G4" s="522"/>
      <c r="H4" s="523"/>
    </row>
    <row r="5" spans="2:14" x14ac:dyDescent="0.25">
      <c r="B5" s="294" t="s">
        <v>17</v>
      </c>
      <c r="C5" s="294" t="s">
        <v>18</v>
      </c>
      <c r="D5" s="503" t="s">
        <v>19</v>
      </c>
      <c r="E5" s="505" t="s">
        <v>202</v>
      </c>
      <c r="F5" s="505" t="s">
        <v>45</v>
      </c>
      <c r="G5" s="505" t="s">
        <v>21</v>
      </c>
      <c r="H5" s="505" t="s">
        <v>11</v>
      </c>
    </row>
    <row r="6" spans="2:14" ht="30" x14ac:dyDescent="0.25">
      <c r="B6" s="294"/>
      <c r="C6" s="294"/>
      <c r="D6" s="504"/>
      <c r="E6" s="506"/>
      <c r="F6" s="506"/>
      <c r="G6" s="506"/>
      <c r="H6" s="506"/>
      <c r="M6" s="175" t="s">
        <v>257</v>
      </c>
      <c r="N6" s="175" t="s">
        <v>258</v>
      </c>
    </row>
    <row r="7" spans="2:14" x14ac:dyDescent="0.25">
      <c r="B7" s="38" t="s">
        <v>209</v>
      </c>
      <c r="C7" s="38" t="s">
        <v>23</v>
      </c>
      <c r="D7" s="39">
        <v>123456789</v>
      </c>
      <c r="E7" s="41">
        <v>3</v>
      </c>
      <c r="F7" s="41">
        <v>400</v>
      </c>
      <c r="G7" s="38">
        <v>1</v>
      </c>
      <c r="H7" s="238">
        <v>1000</v>
      </c>
      <c r="J7" s="87">
        <v>3</v>
      </c>
      <c r="K7" s="126">
        <v>400</v>
      </c>
      <c r="M7" s="133">
        <f>IFERROR(IF($H7="DNQ",0,$E7*G7*$N$18),0)</f>
        <v>2.2770000000000001</v>
      </c>
      <c r="N7" s="133">
        <f>IFERROR(IF($H7="DNQ",0,$E7*G7*$O$18),0)</f>
        <v>9966.75</v>
      </c>
    </row>
    <row r="8" spans="2:14" x14ac:dyDescent="0.25">
      <c r="B8" s="42"/>
      <c r="C8" s="42"/>
      <c r="D8" s="43"/>
      <c r="E8" s="42"/>
      <c r="F8" s="42"/>
      <c r="G8" s="46"/>
      <c r="H8" s="239" t="str">
        <f>IF(OR(E8="",F8=""),"",IF(AND(E8&gt;=3,E8&lt;=6),IF(F8&lt;=VLOOKUP(E8,Idle_Rqmt,2,FALSE),G8*1000,"DNQ"),IF(E8&gt;$J$10,IF(F8&lt;=$K$10,G8*1000,"DNQ"),"")))</f>
        <v/>
      </c>
      <c r="J8" s="87">
        <v>4</v>
      </c>
      <c r="K8" s="87">
        <v>530</v>
      </c>
      <c r="M8" s="227">
        <f t="shared" ref="M8:M12" si="0">IFERROR(IF($H8="DNQ",0,$E8*G8*$N$18),0)</f>
        <v>0</v>
      </c>
      <c r="N8" s="227">
        <f t="shared" ref="N8:N12" si="1">IFERROR(IF($H8="DNQ",0,$E8*G8*$O$18),0)</f>
        <v>0</v>
      </c>
    </row>
    <row r="9" spans="2:14" x14ac:dyDescent="0.25">
      <c r="B9" s="42"/>
      <c r="C9" s="42"/>
      <c r="D9" s="43"/>
      <c r="E9" s="42"/>
      <c r="F9" s="42"/>
      <c r="G9" s="47"/>
      <c r="H9" s="239" t="str">
        <f>IF(OR(E9="",F9=""),"",IF(AND(E9&gt;=3,E9&lt;=6),IF(F9&lt;=VLOOKUP(E9,Idle_Rqmt,2,FALSE),G9*1000,"DNQ"),IF(E9&gt;$J$10,IF(F9&lt;=$K$10,G9*1000,"DNQ"),"")))</f>
        <v/>
      </c>
      <c r="J9" s="87">
        <v>5</v>
      </c>
      <c r="K9" s="87">
        <v>670</v>
      </c>
      <c r="M9" s="227">
        <f t="shared" si="0"/>
        <v>0</v>
      </c>
      <c r="N9" s="227">
        <f t="shared" si="1"/>
        <v>0</v>
      </c>
    </row>
    <row r="10" spans="2:14" x14ac:dyDescent="0.25">
      <c r="B10" s="42"/>
      <c r="C10" s="42"/>
      <c r="D10" s="43"/>
      <c r="E10" s="42"/>
      <c r="F10" s="42"/>
      <c r="G10" s="47"/>
      <c r="H10" s="239" t="str">
        <f>IF(OR(E10="",F10=""),"",IF(AND(E10&gt;=3,E10&lt;=6),IF(F10&lt;=VLOOKUP(E10,Idle_Rqmt,2,FALSE),G10*1000,"DNQ"),IF(E10&gt;$J$10,IF(F10&lt;=$K$10,G10*1000,"DNQ"),"")))</f>
        <v/>
      </c>
      <c r="J10" s="139">
        <v>6</v>
      </c>
      <c r="K10" s="139">
        <v>800</v>
      </c>
      <c r="M10" s="227">
        <f t="shared" si="0"/>
        <v>0</v>
      </c>
      <c r="N10" s="227">
        <f t="shared" si="1"/>
        <v>0</v>
      </c>
    </row>
    <row r="11" spans="2:14" x14ac:dyDescent="0.25">
      <c r="B11" s="42"/>
      <c r="C11" s="42"/>
      <c r="D11" s="43"/>
      <c r="E11" s="42"/>
      <c r="F11" s="42"/>
      <c r="G11" s="47"/>
      <c r="H11" s="239" t="str">
        <f>IF(OR(E11="",F11=""),"",IF(AND(E11&gt;=3,E11&lt;=6),IF(F11&lt;=VLOOKUP(E11,Idle_Rqmt,2,FALSE),G11*1000,"DNQ"),IF(E11&gt;$J$10,IF(F11&lt;=$K$10,G11*1000,"DNQ"),"")))</f>
        <v/>
      </c>
      <c r="J11" s="87"/>
      <c r="K11" s="139"/>
      <c r="M11" s="227">
        <f t="shared" si="0"/>
        <v>0</v>
      </c>
      <c r="N11" s="227">
        <f t="shared" si="1"/>
        <v>0</v>
      </c>
    </row>
    <row r="12" spans="2:14" x14ac:dyDescent="0.25">
      <c r="B12" s="42"/>
      <c r="C12" s="42"/>
      <c r="D12" s="43"/>
      <c r="E12" s="42"/>
      <c r="F12" s="42"/>
      <c r="G12" s="47"/>
      <c r="H12" s="239" t="str">
        <f>IF(OR(E12="",F12=""),"",IF(AND(E12&gt;=3,E12&lt;=6),IF(F12&lt;=VLOOKUP(E12,Idle_Rqmt,2,FALSE),G12*1000,"DNQ"),IF(E12&gt;$J$10,IF(F12&lt;=$K$10,G12*1000,"DNQ"),"")))</f>
        <v/>
      </c>
      <c r="J12" s="87"/>
      <c r="K12" s="139"/>
      <c r="M12" s="227">
        <f t="shared" si="0"/>
        <v>0</v>
      </c>
      <c r="N12" s="227">
        <f t="shared" si="1"/>
        <v>0</v>
      </c>
    </row>
    <row r="13" spans="2:14" ht="15.75" x14ac:dyDescent="0.25">
      <c r="B13" s="482" t="s">
        <v>26</v>
      </c>
      <c r="C13" s="482"/>
      <c r="D13" s="482"/>
      <c r="E13" s="482"/>
      <c r="F13" s="482"/>
      <c r="G13" s="482"/>
      <c r="H13" s="237">
        <f>SUM(H8:H12)</f>
        <v>0</v>
      </c>
      <c r="J13" s="87"/>
      <c r="K13" s="139"/>
    </row>
    <row r="14" spans="2:14" x14ac:dyDescent="0.25">
      <c r="J14" s="87"/>
      <c r="K14" s="139"/>
    </row>
    <row r="15" spans="2:14" x14ac:dyDescent="0.25">
      <c r="J15" s="139"/>
      <c r="K15" s="139"/>
    </row>
    <row r="16" spans="2:14" ht="38.25" x14ac:dyDescent="0.25">
      <c r="B16" s="196" t="s">
        <v>260</v>
      </c>
      <c r="C16" s="23" t="s">
        <v>402</v>
      </c>
      <c r="D16" s="23" t="s">
        <v>258</v>
      </c>
      <c r="E16" s="196" t="s">
        <v>369</v>
      </c>
      <c r="G16" s="211" t="s">
        <v>342</v>
      </c>
      <c r="H16" s="211" t="s">
        <v>401</v>
      </c>
      <c r="J16" s="87"/>
      <c r="K16" s="139"/>
    </row>
    <row r="17" spans="2:15" ht="36" x14ac:dyDescent="0.25">
      <c r="B17" s="197"/>
      <c r="C17" s="230">
        <f>SUM(M8:M12)</f>
        <v>0</v>
      </c>
      <c r="D17" s="231">
        <f>SUM(N8:N12)</f>
        <v>0</v>
      </c>
      <c r="E17" s="232" t="str">
        <f>IFERROR(C18+D18,"Select Rate and Island from Summary Page")</f>
        <v>Select Rate and Island from Summary Page</v>
      </c>
      <c r="F17" s="233"/>
      <c r="G17" s="234" t="str">
        <f>IFERROR(ROUND(B17/E17,1),"")</f>
        <v/>
      </c>
      <c r="H17" s="235" t="str">
        <f>IFERROR(ROUND((B17-H13)/E17,1),"")</f>
        <v/>
      </c>
      <c r="J17" s="87"/>
      <c r="K17" s="139"/>
      <c r="M17" s="228" t="s">
        <v>343</v>
      </c>
      <c r="N17" s="228" t="s">
        <v>257</v>
      </c>
      <c r="O17" s="228" t="s">
        <v>258</v>
      </c>
    </row>
    <row r="18" spans="2:15" hidden="1" x14ac:dyDescent="0.25">
      <c r="C18" s="210" t="e">
        <f>C17*Summary!F5*12</f>
        <v>#VALUE!</v>
      </c>
      <c r="D18" s="210" t="e">
        <f>D17*Summary!G5</f>
        <v>#VALUE!</v>
      </c>
      <c r="J18" s="139"/>
      <c r="K18" s="139"/>
      <c r="M18" s="217" t="s">
        <v>389</v>
      </c>
      <c r="N18" s="217">
        <v>0.75900000000000001</v>
      </c>
      <c r="O18" s="217">
        <v>3322.25</v>
      </c>
    </row>
    <row r="19" spans="2:15" x14ac:dyDescent="0.25">
      <c r="J19" s="87"/>
      <c r="K19" s="139"/>
    </row>
  </sheetData>
  <sheetProtection algorithmName="SHA-512" hashValue="4vImA375PzNr3vMkM8flTeVS67Mdi6ODZE+3eoBzKPqrzViAwjb2kbczccmJfwLT60ab1bPthYRJEKv/ALhieQ==" saltValue="/uXcc2blKJ2Xq9Jlo04V9w==" spinCount="100000" sheet="1" objects="1" scenarios="1"/>
  <mergeCells count="10">
    <mergeCell ref="B13:G13"/>
    <mergeCell ref="B2:H2"/>
    <mergeCell ref="B4:H4"/>
    <mergeCell ref="B5:B6"/>
    <mergeCell ref="C5:C6"/>
    <mergeCell ref="D5:D6"/>
    <mergeCell ref="E5:E6"/>
    <mergeCell ref="F5:F6"/>
    <mergeCell ref="G5:G6"/>
    <mergeCell ref="H5:H6"/>
  </mergeCells>
  <conditionalFormatting sqref="G16:H17">
    <cfRule type="expression" dxfId="2" priority="1">
      <formula>ISBLANK($B$17)</formula>
    </cfRule>
  </conditionalFormatting>
  <hyperlinks>
    <hyperlink ref="B1" location="Summary!A1" display="Back to Summary Page"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23"/>
  <sheetViews>
    <sheetView showGridLines="0" workbookViewId="0">
      <selection activeCell="C15" sqref="C15"/>
    </sheetView>
  </sheetViews>
  <sheetFormatPr defaultRowHeight="15" x14ac:dyDescent="0.25"/>
  <cols>
    <col min="2" max="2" width="21" customWidth="1"/>
    <col min="3" max="3" width="17.28515625" customWidth="1"/>
    <col min="4" max="4" width="15.28515625" customWidth="1"/>
    <col min="5" max="5" width="20.5703125" bestFit="1" customWidth="1"/>
    <col min="6" max="6" width="20.7109375" customWidth="1"/>
    <col min="7" max="7" width="15.85546875" customWidth="1"/>
    <col min="8" max="8" width="13.7109375" customWidth="1"/>
    <col min="9" max="9" width="15.140625" customWidth="1"/>
    <col min="11" max="11" width="15.7109375" hidden="1" customWidth="1"/>
    <col min="12" max="14" width="0" hidden="1" customWidth="1"/>
    <col min="15" max="15" width="41.28515625" hidden="1" customWidth="1"/>
    <col min="16" max="16" width="19.85546875" hidden="1" customWidth="1"/>
    <col min="17" max="17" width="20.42578125" hidden="1" customWidth="1"/>
  </cols>
  <sheetData>
    <row r="1" spans="2:19" ht="15.75" thickBot="1" x14ac:dyDescent="0.3">
      <c r="B1" s="28" t="s">
        <v>27</v>
      </c>
    </row>
    <row r="2" spans="2:19" ht="16.149999999999999" customHeight="1" thickBot="1" x14ac:dyDescent="0.3">
      <c r="B2" s="466" t="s">
        <v>224</v>
      </c>
      <c r="C2" s="467"/>
      <c r="D2" s="467"/>
      <c r="E2" s="467"/>
      <c r="F2" s="467"/>
      <c r="G2" s="467"/>
      <c r="H2" s="467"/>
      <c r="I2" s="468"/>
    </row>
    <row r="4" spans="2:19" ht="15.75" customHeight="1" x14ac:dyDescent="0.25">
      <c r="B4" s="521" t="s">
        <v>16</v>
      </c>
      <c r="C4" s="522"/>
      <c r="D4" s="522"/>
      <c r="E4" s="522"/>
      <c r="F4" s="522"/>
      <c r="G4" s="522"/>
      <c r="H4" s="522"/>
      <c r="I4" s="523"/>
      <c r="R4" s="139"/>
      <c r="S4" s="139"/>
    </row>
    <row r="5" spans="2:19" ht="45" customHeight="1" x14ac:dyDescent="0.25">
      <c r="B5" s="162" t="s">
        <v>17</v>
      </c>
      <c r="C5" s="162" t="s">
        <v>18</v>
      </c>
      <c r="D5" s="162" t="s">
        <v>218</v>
      </c>
      <c r="E5" s="162" t="s">
        <v>390</v>
      </c>
      <c r="F5" s="162" t="s">
        <v>219</v>
      </c>
      <c r="G5" s="162" t="s">
        <v>220</v>
      </c>
      <c r="H5" s="162" t="s">
        <v>21</v>
      </c>
      <c r="I5" s="162" t="s">
        <v>11</v>
      </c>
      <c r="L5" s="175" t="s">
        <v>257</v>
      </c>
      <c r="M5" s="175" t="s">
        <v>258</v>
      </c>
      <c r="O5" s="155" t="s">
        <v>218</v>
      </c>
      <c r="Q5" s="161" t="s">
        <v>212</v>
      </c>
    </row>
    <row r="6" spans="2:19" ht="15.75" customHeight="1" x14ac:dyDescent="0.25">
      <c r="B6" s="160"/>
      <c r="C6" s="160"/>
      <c r="D6" s="156"/>
      <c r="E6" s="177"/>
      <c r="F6" s="156"/>
      <c r="G6" s="157"/>
      <c r="H6" s="156"/>
      <c r="I6" s="251" t="str">
        <f>IFERROR(IF(ISBLANK(G6), "", IF(G6 &lt;= VLOOKUP(F6, Summary!$B$210:$E$212, 3, 0), H6 * $P$11, "DNQ")), "")</f>
        <v/>
      </c>
      <c r="K6" t="str">
        <f>D6&amp;", "&amp;E6</f>
        <v xml:space="preserve">, </v>
      </c>
      <c r="L6" s="227">
        <f>IFERROR(IF($I6="DNQ",0,H6*INDEX($O$18:$Q$23,MATCH($K6,$O$18:$O$23,0),2)),0)</f>
        <v>0</v>
      </c>
      <c r="M6" s="227">
        <f>IFERROR(IF($I6="DNQ",0,H6*INDEX($O$18:$Q$23,MATCH($K6,$O$18:$O$23,0),3)),0)</f>
        <v>0</v>
      </c>
      <c r="O6" s="83" t="s">
        <v>222</v>
      </c>
      <c r="Q6" s="71" t="s">
        <v>214</v>
      </c>
    </row>
    <row r="7" spans="2:19" ht="15.75" customHeight="1" x14ac:dyDescent="0.25">
      <c r="B7" s="160"/>
      <c r="C7" s="160"/>
      <c r="D7" s="156"/>
      <c r="E7" s="177"/>
      <c r="F7" s="156"/>
      <c r="G7" s="157"/>
      <c r="H7" s="156"/>
      <c r="I7" s="251" t="str">
        <f>IFERROR(IF(ISBLANK(G7), "", IF(G7 &lt;= VLOOKUP(F7, Summary!$B$210:$E$212, 3, 0), H7 * $P$11, "DNQ")), "")</f>
        <v/>
      </c>
      <c r="K7" t="str">
        <f>D7&amp;", "&amp;E7</f>
        <v xml:space="preserve">, </v>
      </c>
      <c r="L7" s="227">
        <f t="shared" ref="L7:L10" si="0">IFERROR(IF($I7="DNQ",0,H7*INDEX($O$18:$Q$23,MATCH($K7,$O$18:$O$23,0),2)),0)</f>
        <v>0</v>
      </c>
      <c r="M7" s="227">
        <f t="shared" ref="M7:M10" si="1">IFERROR(IF($I7="DNQ",0,H7*INDEX($O$18:$Q$23,MATCH($K7,$O$18:$O$23,0),3)),0)</f>
        <v>0</v>
      </c>
      <c r="O7" s="83" t="s">
        <v>223</v>
      </c>
      <c r="Q7" s="71" t="s">
        <v>215</v>
      </c>
    </row>
    <row r="8" spans="2:19" ht="15.75" customHeight="1" x14ac:dyDescent="0.25">
      <c r="B8" s="160"/>
      <c r="C8" s="160"/>
      <c r="D8" s="156"/>
      <c r="E8" s="177"/>
      <c r="F8" s="156"/>
      <c r="G8" s="157"/>
      <c r="H8" s="156"/>
      <c r="I8" s="251" t="str">
        <f>IFERROR(IF(ISBLANK(G8), "", IF(G8 &lt;= VLOOKUP(F8, Summary!$B$210:$E$212, 3, 0), H8 * $P$11, "DNQ")), "")</f>
        <v/>
      </c>
      <c r="K8" t="str">
        <f t="shared" ref="K8:K10" si="2">D8&amp;", "&amp;E8</f>
        <v xml:space="preserve">, </v>
      </c>
      <c r="L8" s="227">
        <f t="shared" si="0"/>
        <v>0</v>
      </c>
      <c r="M8" s="227">
        <f t="shared" si="1"/>
        <v>0</v>
      </c>
      <c r="Q8" s="71" t="s">
        <v>216</v>
      </c>
    </row>
    <row r="9" spans="2:19" ht="15.75" customHeight="1" x14ac:dyDescent="0.25">
      <c r="B9" s="160"/>
      <c r="C9" s="160"/>
      <c r="D9" s="156"/>
      <c r="E9" s="177"/>
      <c r="F9" s="156"/>
      <c r="G9" s="157"/>
      <c r="H9" s="156"/>
      <c r="I9" s="251" t="str">
        <f>IFERROR(IF(ISBLANK(G9), "", IF(G9 &lt;= VLOOKUP(F9, Summary!$B$210:$E$212, 3, 0), H9 * $P$11, "DNQ")), "")</f>
        <v/>
      </c>
      <c r="K9" t="str">
        <f t="shared" si="2"/>
        <v xml:space="preserve">, </v>
      </c>
      <c r="L9" s="227">
        <f t="shared" si="0"/>
        <v>0</v>
      </c>
      <c r="M9" s="227">
        <f t="shared" si="1"/>
        <v>0</v>
      </c>
      <c r="O9" s="155" t="s">
        <v>390</v>
      </c>
      <c r="R9" s="139"/>
      <c r="S9" s="139"/>
    </row>
    <row r="10" spans="2:19" ht="15.75" customHeight="1" x14ac:dyDescent="0.25">
      <c r="B10" s="160"/>
      <c r="C10" s="160"/>
      <c r="D10" s="156"/>
      <c r="E10" s="177"/>
      <c r="F10" s="156"/>
      <c r="G10" s="157"/>
      <c r="H10" s="156"/>
      <c r="I10" s="251" t="str">
        <f>IFERROR(IF(ISBLANK(G10), "", IF(G10 &lt;= VLOOKUP(F10, Summary!$B$210:$E$212, 3, 0), H10 * $P$11, "DNQ")), "")</f>
        <v/>
      </c>
      <c r="K10" t="str">
        <f t="shared" si="2"/>
        <v xml:space="preserve">, </v>
      </c>
      <c r="L10" s="227">
        <f t="shared" si="0"/>
        <v>0</v>
      </c>
      <c r="M10" s="227">
        <f t="shared" si="1"/>
        <v>0</v>
      </c>
      <c r="O10" s="83" t="s">
        <v>399</v>
      </c>
      <c r="R10" s="139"/>
      <c r="S10" s="139"/>
    </row>
    <row r="11" spans="2:19" ht="16.5" customHeight="1" thickBot="1" x14ac:dyDescent="0.3">
      <c r="B11" s="158" t="s">
        <v>26</v>
      </c>
      <c r="C11" s="159"/>
      <c r="D11" s="159"/>
      <c r="E11" s="159"/>
      <c r="F11" s="159"/>
      <c r="G11" s="159"/>
      <c r="H11" s="159"/>
      <c r="I11" s="252">
        <f>SUM(I6:I10)</f>
        <v>0</v>
      </c>
      <c r="O11" s="83" t="s">
        <v>391</v>
      </c>
      <c r="P11" s="92">
        <v>50</v>
      </c>
      <c r="R11" s="139"/>
      <c r="S11" s="139"/>
    </row>
    <row r="12" spans="2:19" x14ac:dyDescent="0.25">
      <c r="O12" s="83" t="s">
        <v>392</v>
      </c>
    </row>
    <row r="14" spans="2:19" ht="25.5" x14ac:dyDescent="0.25">
      <c r="B14" s="196" t="s">
        <v>260</v>
      </c>
      <c r="C14" s="23" t="s">
        <v>402</v>
      </c>
      <c r="D14" s="23" t="s">
        <v>258</v>
      </c>
      <c r="E14" s="196" t="s">
        <v>369</v>
      </c>
      <c r="H14" s="211" t="s">
        <v>342</v>
      </c>
      <c r="I14" s="211" t="s">
        <v>401</v>
      </c>
    </row>
    <row r="15" spans="2:19" ht="24" x14ac:dyDescent="0.25">
      <c r="B15" s="197"/>
      <c r="C15" s="230">
        <f>SUM(L6:L10)</f>
        <v>0</v>
      </c>
      <c r="D15" s="231">
        <f>SUM(M6:M10)</f>
        <v>0</v>
      </c>
      <c r="E15" s="232" t="str">
        <f>IFERROR(C16+D16,"Select Rate and Island from Summary Page")</f>
        <v>Select Rate and Island from Summary Page</v>
      </c>
      <c r="F15" s="233"/>
      <c r="G15" s="233"/>
      <c r="H15" s="234" t="str">
        <f>IFERROR(ROUND(B15/E15,1),"")</f>
        <v/>
      </c>
      <c r="I15" s="235" t="str">
        <f>IFERROR(ROUND((B15-I11)/E15,1),"")</f>
        <v/>
      </c>
    </row>
    <row r="16" spans="2:19" hidden="1" x14ac:dyDescent="0.25">
      <c r="C16" s="210" t="e">
        <f>C15*Summary!F5*12</f>
        <v>#VALUE!</v>
      </c>
      <c r="D16" s="210" t="e">
        <f>D15*Summary!G5</f>
        <v>#VALUE!</v>
      </c>
    </row>
    <row r="17" spans="15:17" ht="30" x14ac:dyDescent="0.25">
      <c r="O17" s="155" t="s">
        <v>343</v>
      </c>
      <c r="P17" s="155" t="s">
        <v>257</v>
      </c>
      <c r="Q17" s="155" t="s">
        <v>258</v>
      </c>
    </row>
    <row r="18" spans="15:17" x14ac:dyDescent="0.25">
      <c r="O18" s="83" t="s">
        <v>393</v>
      </c>
      <c r="P18" s="83">
        <v>0.109</v>
      </c>
      <c r="Q18" s="83">
        <v>582.34</v>
      </c>
    </row>
    <row r="19" spans="15:17" x14ac:dyDescent="0.25">
      <c r="O19" s="83" t="s">
        <v>394</v>
      </c>
      <c r="P19" s="83">
        <v>8.2000000000000003E-2</v>
      </c>
      <c r="Q19" s="83">
        <v>437.16</v>
      </c>
    </row>
    <row r="20" spans="15:17" x14ac:dyDescent="0.25">
      <c r="O20" s="83" t="s">
        <v>395</v>
      </c>
      <c r="P20" s="83">
        <v>0.06</v>
      </c>
      <c r="Q20" s="83">
        <v>319.08999999999997</v>
      </c>
    </row>
    <row r="21" spans="15:17" x14ac:dyDescent="0.25">
      <c r="O21" s="83" t="s">
        <v>396</v>
      </c>
      <c r="P21" s="83">
        <v>4.7E-2</v>
      </c>
      <c r="Q21" s="83">
        <v>248.43</v>
      </c>
    </row>
    <row r="22" spans="15:17" x14ac:dyDescent="0.25">
      <c r="O22" s="83" t="s">
        <v>397</v>
      </c>
      <c r="P22" s="83">
        <v>3.5999999999999997E-2</v>
      </c>
      <c r="Q22" s="83">
        <v>192.68</v>
      </c>
    </row>
    <row r="23" spans="15:17" x14ac:dyDescent="0.25">
      <c r="O23" s="83" t="s">
        <v>398</v>
      </c>
      <c r="P23" s="83">
        <v>2.5999999999999999E-2</v>
      </c>
      <c r="Q23" s="83">
        <v>140.63999999999999</v>
      </c>
    </row>
  </sheetData>
  <sheetProtection algorithmName="SHA-512" hashValue="tsWrLXwiskOvKrwpK7DZ3PUq8e66dEZyn3tjOSciWlB8fDm1KbdzZGFZkUOtDhcOVInNvHDt76o4FwcOEmIweA==" saltValue="QklrHZufMpkXr8rij13OOw==" spinCount="100000" sheet="1" objects="1" scenarios="1"/>
  <mergeCells count="2">
    <mergeCell ref="B4:I4"/>
    <mergeCell ref="B2:I2"/>
  </mergeCells>
  <conditionalFormatting sqref="H14:I15">
    <cfRule type="expression" dxfId="1" priority="1">
      <formula>ISBLANK($B$15)</formula>
    </cfRule>
  </conditionalFormatting>
  <dataValidations count="3">
    <dataValidation type="list" allowBlank="1" showInputMessage="1" showErrorMessage="1" sqref="F6:F10" xr:uid="{00000000-0002-0000-0B00-000000000000}">
      <formula1>$Q$6:$Q$8</formula1>
    </dataValidation>
    <dataValidation type="list" allowBlank="1" showInputMessage="1" showErrorMessage="1" sqref="D6:D10" xr:uid="{00000000-0002-0000-0B00-000001000000}">
      <formula1>$O$6:$O$7</formula1>
    </dataValidation>
    <dataValidation type="list" allowBlank="1" showInputMessage="1" showErrorMessage="1" sqref="E6:E10" xr:uid="{AB379F22-C416-4494-A0D8-17D10D49FFA5}">
      <formula1>$O$10:$O$12</formula1>
    </dataValidation>
  </dataValidations>
  <hyperlinks>
    <hyperlink ref="B1" location="Summary!A1" display="Back to Summary Page"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P25"/>
  <sheetViews>
    <sheetView showGridLines="0" workbookViewId="0">
      <selection activeCell="G28" sqref="G28"/>
    </sheetView>
  </sheetViews>
  <sheetFormatPr defaultRowHeight="15" x14ac:dyDescent="0.25"/>
  <cols>
    <col min="2" max="2" width="18.7109375" bestFit="1" customWidth="1"/>
    <col min="3" max="4" width="13.140625" customWidth="1"/>
    <col min="5" max="5" width="18.140625" customWidth="1"/>
    <col min="6" max="6" width="12.7109375" customWidth="1"/>
    <col min="7" max="7" width="19.28515625" customWidth="1"/>
    <col min="8" max="8" width="9.85546875" customWidth="1"/>
    <col min="9" max="11" width="12.85546875" customWidth="1"/>
    <col min="14" max="14" width="37.85546875" hidden="1" customWidth="1"/>
    <col min="15" max="15" width="18.28515625" hidden="1" customWidth="1"/>
    <col min="16" max="16" width="18.7109375" hidden="1" customWidth="1"/>
    <col min="17" max="17" width="20.42578125" bestFit="1" customWidth="1"/>
  </cols>
  <sheetData>
    <row r="1" spans="2:16" ht="15.75" thickBot="1" x14ac:dyDescent="0.3">
      <c r="B1" s="28" t="s">
        <v>27</v>
      </c>
    </row>
    <row r="2" spans="2:16" ht="16.149999999999999" customHeight="1" thickBot="1" x14ac:dyDescent="0.3">
      <c r="B2" s="466" t="s">
        <v>230</v>
      </c>
      <c r="C2" s="467"/>
      <c r="D2" s="467"/>
      <c r="E2" s="467"/>
      <c r="F2" s="467"/>
      <c r="G2" s="467"/>
      <c r="H2" s="467"/>
      <c r="I2" s="467"/>
      <c r="J2" s="467"/>
      <c r="K2" s="468"/>
    </row>
    <row r="4" spans="2:16" ht="15.75" x14ac:dyDescent="0.25">
      <c r="B4" s="529" t="s">
        <v>231</v>
      </c>
      <c r="C4" s="529"/>
      <c r="D4" s="529"/>
      <c r="E4" s="529"/>
      <c r="F4" s="529"/>
      <c r="G4" s="529"/>
      <c r="H4" s="529"/>
      <c r="I4" s="529"/>
      <c r="J4" s="529"/>
      <c r="K4" s="529"/>
    </row>
    <row r="5" spans="2:16" ht="15.75" x14ac:dyDescent="0.25">
      <c r="B5" s="530" t="s">
        <v>232</v>
      </c>
      <c r="C5" s="531"/>
      <c r="D5" s="531"/>
      <c r="E5" s="531"/>
      <c r="F5" s="531"/>
      <c r="G5" s="531"/>
      <c r="H5" s="531"/>
      <c r="I5" s="531"/>
      <c r="J5" s="531"/>
      <c r="K5" s="532"/>
    </row>
    <row r="6" spans="2:16" ht="25.5" x14ac:dyDescent="0.25">
      <c r="B6" s="154" t="s">
        <v>233</v>
      </c>
      <c r="C6" s="154" t="s">
        <v>234</v>
      </c>
      <c r="D6" s="154" t="s">
        <v>235</v>
      </c>
      <c r="E6" s="154" t="s">
        <v>236</v>
      </c>
      <c r="F6" s="533" t="s">
        <v>237</v>
      </c>
      <c r="G6" s="533"/>
      <c r="H6" s="533"/>
      <c r="I6" s="163" t="s">
        <v>238</v>
      </c>
      <c r="J6" s="163" t="s">
        <v>239</v>
      </c>
      <c r="K6" s="163" t="s">
        <v>240</v>
      </c>
    </row>
    <row r="7" spans="2:16" x14ac:dyDescent="0.25">
      <c r="B7" s="160"/>
      <c r="C7" s="160"/>
      <c r="D7" s="160"/>
      <c r="E7" s="160"/>
      <c r="F7" s="534"/>
      <c r="G7" s="534"/>
      <c r="H7" s="534"/>
      <c r="I7" s="156"/>
      <c r="J7" s="156"/>
      <c r="K7" s="156"/>
      <c r="N7" s="178" t="s">
        <v>343</v>
      </c>
      <c r="O7" s="178" t="s">
        <v>257</v>
      </c>
      <c r="P7" s="178" t="s">
        <v>258</v>
      </c>
    </row>
    <row r="8" spans="2:16" ht="25.5" x14ac:dyDescent="0.25">
      <c r="B8" s="160"/>
      <c r="C8" s="160"/>
      <c r="D8" s="160"/>
      <c r="E8" s="160"/>
      <c r="F8" s="534"/>
      <c r="G8" s="534"/>
      <c r="H8" s="534"/>
      <c r="I8" s="156"/>
      <c r="J8" s="156"/>
      <c r="K8" s="156"/>
      <c r="N8" s="229" t="s">
        <v>400</v>
      </c>
      <c r="O8" s="229">
        <v>0.38</v>
      </c>
      <c r="P8" s="229">
        <v>4423</v>
      </c>
    </row>
    <row r="9" spans="2:16" x14ac:dyDescent="0.25">
      <c r="B9" s="160"/>
      <c r="C9" s="160"/>
      <c r="D9" s="160"/>
      <c r="E9" s="160"/>
      <c r="F9" s="534"/>
      <c r="G9" s="534"/>
      <c r="H9" s="534"/>
      <c r="I9" s="156"/>
      <c r="J9" s="156"/>
      <c r="K9" s="156"/>
    </row>
    <row r="10" spans="2:16" x14ac:dyDescent="0.25">
      <c r="B10" s="160"/>
      <c r="C10" s="160"/>
      <c r="D10" s="160"/>
      <c r="E10" s="160"/>
      <c r="F10" s="534"/>
      <c r="G10" s="534"/>
      <c r="H10" s="534"/>
      <c r="I10" s="156"/>
      <c r="J10" s="156"/>
      <c r="K10" s="156"/>
    </row>
    <row r="11" spans="2:16" x14ac:dyDescent="0.25">
      <c r="B11" s="160"/>
      <c r="C11" s="160"/>
      <c r="D11" s="160"/>
      <c r="E11" s="160"/>
      <c r="F11" s="534"/>
      <c r="G11" s="534"/>
      <c r="H11" s="534"/>
      <c r="I11" s="156"/>
      <c r="J11" s="156"/>
      <c r="K11" s="156"/>
    </row>
    <row r="12" spans="2:16" ht="15.75" x14ac:dyDescent="0.25">
      <c r="B12" s="164"/>
      <c r="C12" s="165"/>
      <c r="D12" s="165"/>
      <c r="E12" s="165"/>
      <c r="F12" s="165"/>
      <c r="G12" s="165"/>
      <c r="H12" s="165"/>
      <c r="I12" s="165"/>
      <c r="J12" s="165"/>
      <c r="K12" s="165"/>
    </row>
    <row r="13" spans="2:16" ht="15.75" x14ac:dyDescent="0.25">
      <c r="B13" s="530" t="s">
        <v>217</v>
      </c>
      <c r="C13" s="531"/>
      <c r="D13" s="531"/>
      <c r="E13" s="531"/>
      <c r="F13" s="531"/>
      <c r="G13" s="531"/>
      <c r="H13" s="531"/>
      <c r="I13" s="531"/>
      <c r="J13" s="531"/>
      <c r="K13" s="532"/>
    </row>
    <row r="14" spans="2:16" ht="30" x14ac:dyDescent="0.25">
      <c r="B14" s="535" t="s">
        <v>17</v>
      </c>
      <c r="C14" s="535"/>
      <c r="D14" s="535"/>
      <c r="E14" s="535" t="s">
        <v>18</v>
      </c>
      <c r="F14" s="535"/>
      <c r="G14" s="535"/>
      <c r="H14" s="154" t="s">
        <v>241</v>
      </c>
      <c r="I14" s="154" t="s">
        <v>242</v>
      </c>
      <c r="J14" s="154" t="s">
        <v>243</v>
      </c>
      <c r="K14" s="154" t="s">
        <v>221</v>
      </c>
      <c r="N14" s="175" t="s">
        <v>257</v>
      </c>
      <c r="O14" s="175" t="s">
        <v>258</v>
      </c>
    </row>
    <row r="15" spans="2:16" ht="15" customHeight="1" x14ac:dyDescent="0.25">
      <c r="B15" s="524"/>
      <c r="C15" s="525"/>
      <c r="D15" s="526"/>
      <c r="E15" s="524"/>
      <c r="F15" s="525"/>
      <c r="G15" s="526"/>
      <c r="H15" s="156"/>
      <c r="I15" s="156"/>
      <c r="J15" s="166">
        <v>700</v>
      </c>
      <c r="K15" s="251">
        <f>H15*I15*J15</f>
        <v>0</v>
      </c>
      <c r="N15" s="227">
        <f>IFERROR($H15*$I15*O$8,0)</f>
        <v>0</v>
      </c>
      <c r="O15" s="227">
        <f>IFERROR($H15*$I15*P$8,0)</f>
        <v>0</v>
      </c>
    </row>
    <row r="16" spans="2:16" x14ac:dyDescent="0.25">
      <c r="B16" s="524"/>
      <c r="C16" s="525"/>
      <c r="D16" s="526"/>
      <c r="E16" s="524"/>
      <c r="F16" s="525"/>
      <c r="G16" s="526"/>
      <c r="H16" s="156"/>
      <c r="I16" s="156"/>
      <c r="J16" s="166">
        <v>700</v>
      </c>
      <c r="K16" s="251">
        <f t="shared" ref="K16:K19" si="0">H16*I16*J16</f>
        <v>0</v>
      </c>
      <c r="N16" s="227">
        <f t="shared" ref="N16:O19" si="1">IFERROR($H16*$I16*O$8,0)</f>
        <v>0</v>
      </c>
      <c r="O16" s="227">
        <f t="shared" si="1"/>
        <v>0</v>
      </c>
    </row>
    <row r="17" spans="2:15" x14ac:dyDescent="0.25">
      <c r="B17" s="524"/>
      <c r="C17" s="525"/>
      <c r="D17" s="526"/>
      <c r="E17" s="524"/>
      <c r="F17" s="525"/>
      <c r="G17" s="526"/>
      <c r="H17" s="156"/>
      <c r="I17" s="156"/>
      <c r="J17" s="166">
        <v>700</v>
      </c>
      <c r="K17" s="251">
        <f t="shared" si="0"/>
        <v>0</v>
      </c>
      <c r="N17" s="227">
        <f t="shared" si="1"/>
        <v>0</v>
      </c>
      <c r="O17" s="227">
        <f t="shared" si="1"/>
        <v>0</v>
      </c>
    </row>
    <row r="18" spans="2:15" x14ac:dyDescent="0.25">
      <c r="B18" s="524"/>
      <c r="C18" s="525"/>
      <c r="D18" s="526"/>
      <c r="E18" s="524"/>
      <c r="F18" s="525"/>
      <c r="G18" s="526"/>
      <c r="H18" s="156"/>
      <c r="I18" s="156"/>
      <c r="J18" s="166">
        <v>700</v>
      </c>
      <c r="K18" s="251">
        <f t="shared" si="0"/>
        <v>0</v>
      </c>
      <c r="N18" s="227">
        <f t="shared" si="1"/>
        <v>0</v>
      </c>
      <c r="O18" s="227">
        <f t="shared" si="1"/>
        <v>0</v>
      </c>
    </row>
    <row r="19" spans="2:15" ht="15.75" thickBot="1" x14ac:dyDescent="0.3">
      <c r="B19" s="524"/>
      <c r="C19" s="525"/>
      <c r="D19" s="526"/>
      <c r="E19" s="524"/>
      <c r="F19" s="525"/>
      <c r="G19" s="526"/>
      <c r="H19" s="156"/>
      <c r="I19" s="156"/>
      <c r="J19" s="166">
        <v>700</v>
      </c>
      <c r="K19" s="251">
        <f t="shared" si="0"/>
        <v>0</v>
      </c>
      <c r="N19" s="227">
        <f t="shared" si="1"/>
        <v>0</v>
      </c>
      <c r="O19" s="227">
        <f t="shared" si="1"/>
        <v>0</v>
      </c>
    </row>
    <row r="20" spans="2:15" ht="16.5" thickBot="1" x14ac:dyDescent="0.3">
      <c r="B20" s="527" t="s">
        <v>26</v>
      </c>
      <c r="C20" s="528"/>
      <c r="D20" s="528"/>
      <c r="E20" s="528"/>
      <c r="F20" s="528"/>
      <c r="G20" s="528"/>
      <c r="H20" s="528"/>
      <c r="I20" s="528"/>
      <c r="J20" s="528"/>
      <c r="K20" s="253">
        <f>SUM(K15:K19)</f>
        <v>0</v>
      </c>
    </row>
    <row r="23" spans="2:15" ht="38.25" x14ac:dyDescent="0.25">
      <c r="B23" s="196" t="s">
        <v>260</v>
      </c>
      <c r="C23" s="23" t="s">
        <v>402</v>
      </c>
      <c r="D23" s="23" t="s">
        <v>258</v>
      </c>
      <c r="E23" s="196" t="s">
        <v>369</v>
      </c>
      <c r="J23" s="211" t="s">
        <v>342</v>
      </c>
      <c r="K23" s="211" t="s">
        <v>401</v>
      </c>
    </row>
    <row r="24" spans="2:15" ht="36" x14ac:dyDescent="0.25">
      <c r="B24" s="197"/>
      <c r="C24" s="230">
        <f>SUM(N15:N19)</f>
        <v>0</v>
      </c>
      <c r="D24" s="231">
        <f>SUM(O15:O19)</f>
        <v>0</v>
      </c>
      <c r="E24" s="232" t="str">
        <f>IFERROR(C25+D25,"Select Rate and Island from Summary Page")</f>
        <v>Select Rate and Island from Summary Page</v>
      </c>
      <c r="F24" s="233"/>
      <c r="G24" s="233"/>
      <c r="H24" s="233"/>
      <c r="I24" s="233"/>
      <c r="J24" s="234" t="str">
        <f>IFERROR(ROUND(B24/E24,1),"")</f>
        <v/>
      </c>
      <c r="K24" s="235" t="str">
        <f>IFERROR(ROUND((B24-K20)/E24,1),"")</f>
        <v/>
      </c>
    </row>
    <row r="25" spans="2:15" hidden="1" x14ac:dyDescent="0.25">
      <c r="C25" s="210" t="e">
        <f>C24*Summary!F5*12</f>
        <v>#VALUE!</v>
      </c>
      <c r="D25" s="210" t="e">
        <f>D24*Summary!G5</f>
        <v>#VALUE!</v>
      </c>
    </row>
  </sheetData>
  <sheetProtection algorithmName="SHA-512" hashValue="TsL+buVafrna4tASWzAQYaFo46JbLnUfRyjZdYcgMVgHwVOC8Js5ZbT0E4c/sQIcWud8Xub6t0n7pR9jVgmiUQ==" saltValue="QXdIMrR2wC7CqobRc1n+fQ==" spinCount="100000" sheet="1" objects="1" scenarios="1"/>
  <mergeCells count="23">
    <mergeCell ref="B17:D17"/>
    <mergeCell ref="E17:G17"/>
    <mergeCell ref="F9:H9"/>
    <mergeCell ref="F10:H10"/>
    <mergeCell ref="F11:H11"/>
    <mergeCell ref="B13:K13"/>
    <mergeCell ref="B14:D14"/>
    <mergeCell ref="E14:G14"/>
    <mergeCell ref="B2:K2"/>
    <mergeCell ref="B15:D15"/>
    <mergeCell ref="E15:G15"/>
    <mergeCell ref="B16:D16"/>
    <mergeCell ref="E16:G16"/>
    <mergeCell ref="B4:K4"/>
    <mergeCell ref="B5:K5"/>
    <mergeCell ref="F6:H6"/>
    <mergeCell ref="F7:H7"/>
    <mergeCell ref="F8:H8"/>
    <mergeCell ref="B18:D18"/>
    <mergeCell ref="E18:G18"/>
    <mergeCell ref="B19:D19"/>
    <mergeCell ref="E19:G19"/>
    <mergeCell ref="B20:J20"/>
  </mergeCells>
  <conditionalFormatting sqref="J23:K24">
    <cfRule type="expression" dxfId="0" priority="1">
      <formula>ISBLANK($B$24)</formula>
    </cfRule>
  </conditionalFormatting>
  <dataValidations disablePrompts="1" count="1">
    <dataValidation type="custom" allowBlank="1" showInputMessage="1" showErrorMessage="1" sqref="I7:K11" xr:uid="{00000000-0002-0000-0C00-000000000000}">
      <formula1>MOD(I7*100,1)=0</formula1>
    </dataValidation>
  </dataValidations>
  <hyperlinks>
    <hyperlink ref="B1" location="Summary!A1" display="Back to Summary Page"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B1587-9662-4659-A1AE-06D5912AE462}">
  <dimension ref="A1:C6"/>
  <sheetViews>
    <sheetView workbookViewId="0">
      <selection activeCell="C2" sqref="C2:C6"/>
    </sheetView>
  </sheetViews>
  <sheetFormatPr defaultRowHeight="15" x14ac:dyDescent="0.25"/>
  <sheetData>
    <row r="1" spans="1:3" x14ac:dyDescent="0.25">
      <c r="A1" s="202" t="s">
        <v>264</v>
      </c>
      <c r="B1" s="202" t="s">
        <v>265</v>
      </c>
      <c r="C1" s="202" t="s">
        <v>266</v>
      </c>
    </row>
    <row r="2" spans="1:3" x14ac:dyDescent="0.25">
      <c r="A2" t="s">
        <v>267</v>
      </c>
      <c r="B2" t="s">
        <v>268</v>
      </c>
      <c r="C2" t="s">
        <v>269</v>
      </c>
    </row>
    <row r="3" spans="1:3" x14ac:dyDescent="0.25">
      <c r="A3" t="s">
        <v>270</v>
      </c>
      <c r="B3" t="s">
        <v>271</v>
      </c>
      <c r="C3" t="s">
        <v>272</v>
      </c>
    </row>
    <row r="4" spans="1:3" x14ac:dyDescent="0.25">
      <c r="A4" t="s">
        <v>273</v>
      </c>
      <c r="B4" t="s">
        <v>274</v>
      </c>
      <c r="C4" t="s">
        <v>275</v>
      </c>
    </row>
    <row r="5" spans="1:3" x14ac:dyDescent="0.25">
      <c r="A5" t="s">
        <v>276</v>
      </c>
      <c r="B5" t="s">
        <v>277</v>
      </c>
      <c r="C5" t="s">
        <v>278</v>
      </c>
    </row>
    <row r="6" spans="1:3" x14ac:dyDescent="0.25">
      <c r="A6" t="s">
        <v>279</v>
      </c>
      <c r="B6" t="s">
        <v>280</v>
      </c>
      <c r="C6" t="s">
        <v>281</v>
      </c>
    </row>
  </sheetData>
  <dataValidations count="1">
    <dataValidation type="list" allowBlank="1" showInputMessage="1" showErrorMessage="1" sqref="F4:G4" xr:uid="{B0CA5074-5AE8-4D2C-B309-9B4A579B9AEB}">
      <formula1>$C$2:$C$6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A77B-7CE4-4B43-81A8-F826F24FD975}">
  <dimension ref="B1:F55"/>
  <sheetViews>
    <sheetView showGridLines="0" topLeftCell="A6" workbookViewId="0">
      <selection activeCell="B6" sqref="B6:F55"/>
    </sheetView>
  </sheetViews>
  <sheetFormatPr defaultColWidth="10.7109375" defaultRowHeight="12.75" x14ac:dyDescent="0.2"/>
  <cols>
    <col min="1" max="1" width="5.7109375" style="203" customWidth="1"/>
    <col min="2" max="2" width="46.42578125" style="203" bestFit="1" customWidth="1"/>
    <col min="3" max="3" width="15.7109375" style="203" customWidth="1"/>
    <col min="4" max="4" width="34.28515625" style="203" bestFit="1" customWidth="1"/>
    <col min="5" max="6" width="15.7109375" style="203" customWidth="1"/>
    <col min="7" max="16384" width="10.7109375" style="203"/>
  </cols>
  <sheetData>
    <row r="1" spans="2:6" ht="14.45" customHeight="1" x14ac:dyDescent="0.2">
      <c r="B1" s="536" t="s">
        <v>341</v>
      </c>
      <c r="C1" s="536"/>
      <c r="D1" s="536"/>
      <c r="E1" s="536"/>
      <c r="F1" s="536"/>
    </row>
    <row r="2" spans="2:6" ht="13.9" customHeight="1" x14ac:dyDescent="0.2">
      <c r="B2" s="536"/>
      <c r="C2" s="536"/>
      <c r="D2" s="536"/>
      <c r="E2" s="536"/>
      <c r="F2" s="536"/>
    </row>
    <row r="3" spans="2:6" x14ac:dyDescent="0.2">
      <c r="B3" s="536"/>
      <c r="C3" s="536"/>
      <c r="D3" s="536"/>
      <c r="E3" s="536"/>
      <c r="F3" s="536"/>
    </row>
    <row r="5" spans="2:6" s="209" customFormat="1" x14ac:dyDescent="0.2">
      <c r="B5" s="209" t="s">
        <v>340</v>
      </c>
      <c r="C5" s="209" t="s">
        <v>266</v>
      </c>
      <c r="D5" s="209" t="s">
        <v>264</v>
      </c>
      <c r="E5" s="209" t="s">
        <v>339</v>
      </c>
      <c r="F5" s="209" t="s">
        <v>338</v>
      </c>
    </row>
    <row r="6" spans="2:6" x14ac:dyDescent="0.2">
      <c r="B6" s="205" t="s">
        <v>337</v>
      </c>
      <c r="C6" s="205" t="s">
        <v>269</v>
      </c>
      <c r="D6" s="205" t="s">
        <v>335</v>
      </c>
      <c r="E6" s="205" t="s">
        <v>283</v>
      </c>
      <c r="F6" s="206">
        <v>0</v>
      </c>
    </row>
    <row r="7" spans="2:6" ht="15" x14ac:dyDescent="0.25">
      <c r="B7" s="205" t="s">
        <v>336</v>
      </c>
      <c r="C7" s="205" t="s">
        <v>269</v>
      </c>
      <c r="D7" s="205" t="s">
        <v>335</v>
      </c>
      <c r="E7" s="205" t="s">
        <v>259</v>
      </c>
      <c r="F7" s="204">
        <v>0.28574375000000002</v>
      </c>
    </row>
    <row r="8" spans="2:6" ht="15" x14ac:dyDescent="0.25">
      <c r="B8" s="203" t="s">
        <v>334</v>
      </c>
      <c r="C8" s="203" t="s">
        <v>269</v>
      </c>
      <c r="D8" s="203" t="s">
        <v>332</v>
      </c>
      <c r="E8" s="203" t="s">
        <v>283</v>
      </c>
      <c r="F8" s="207">
        <v>12.914999999999999</v>
      </c>
    </row>
    <row r="9" spans="2:6" ht="15" x14ac:dyDescent="0.25">
      <c r="B9" s="203" t="s">
        <v>333</v>
      </c>
      <c r="C9" s="203" t="s">
        <v>269</v>
      </c>
      <c r="D9" s="203" t="s">
        <v>332</v>
      </c>
      <c r="E9" s="203" t="s">
        <v>259</v>
      </c>
      <c r="F9" s="207">
        <v>0.23864825000000001</v>
      </c>
    </row>
    <row r="10" spans="2:6" ht="15" x14ac:dyDescent="0.25">
      <c r="B10" s="205" t="s">
        <v>331</v>
      </c>
      <c r="C10" s="205" t="s">
        <v>269</v>
      </c>
      <c r="D10" s="205" t="s">
        <v>329</v>
      </c>
      <c r="E10" s="205" t="s">
        <v>283</v>
      </c>
      <c r="F10" s="204">
        <v>22.953333000000001</v>
      </c>
    </row>
    <row r="11" spans="2:6" ht="15" x14ac:dyDescent="0.25">
      <c r="B11" s="205" t="s">
        <v>330</v>
      </c>
      <c r="C11" s="205" t="s">
        <v>269</v>
      </c>
      <c r="D11" s="205" t="s">
        <v>329</v>
      </c>
      <c r="E11" s="205" t="s">
        <v>259</v>
      </c>
      <c r="F11" s="204">
        <v>0.2020005</v>
      </c>
    </row>
    <row r="12" spans="2:6" ht="15" x14ac:dyDescent="0.25">
      <c r="B12" s="203" t="s">
        <v>328</v>
      </c>
      <c r="C12" s="203" t="s">
        <v>269</v>
      </c>
      <c r="D12" s="203" t="s">
        <v>326</v>
      </c>
      <c r="E12" s="203" t="s">
        <v>283</v>
      </c>
      <c r="F12" s="207">
        <v>26.44</v>
      </c>
    </row>
    <row r="13" spans="2:6" ht="15" x14ac:dyDescent="0.25">
      <c r="B13" s="203" t="s">
        <v>327</v>
      </c>
      <c r="C13" s="203" t="s">
        <v>269</v>
      </c>
      <c r="D13" s="203" t="s">
        <v>326</v>
      </c>
      <c r="E13" s="203" t="s">
        <v>259</v>
      </c>
      <c r="F13" s="207">
        <v>0.21146891000000001</v>
      </c>
    </row>
    <row r="14" spans="2:6" x14ac:dyDescent="0.2">
      <c r="B14" s="205" t="s">
        <v>325</v>
      </c>
      <c r="C14" s="205" t="s">
        <v>269</v>
      </c>
      <c r="D14" s="205" t="s">
        <v>323</v>
      </c>
      <c r="E14" s="205" t="s">
        <v>283</v>
      </c>
      <c r="F14" s="206">
        <v>0</v>
      </c>
    </row>
    <row r="15" spans="2:6" ht="15" x14ac:dyDescent="0.25">
      <c r="B15" s="205" t="s">
        <v>324</v>
      </c>
      <c r="C15" s="205" t="s">
        <v>269</v>
      </c>
      <c r="D15" s="205" t="s">
        <v>323</v>
      </c>
      <c r="E15" s="205" t="s">
        <v>259</v>
      </c>
      <c r="F15" s="204">
        <v>0.29451616000000003</v>
      </c>
    </row>
    <row r="16" spans="2:6" x14ac:dyDescent="0.2">
      <c r="B16" s="203" t="s">
        <v>322</v>
      </c>
      <c r="C16" s="203" t="s">
        <v>272</v>
      </c>
      <c r="D16" s="203" t="str">
        <f t="shared" ref="D16:D25" si="0">D6</f>
        <v>Schedule G - General Non-Demand</v>
      </c>
      <c r="E16" s="203" t="s">
        <v>283</v>
      </c>
      <c r="F16" s="208">
        <v>0</v>
      </c>
    </row>
    <row r="17" spans="2:6" ht="15" x14ac:dyDescent="0.25">
      <c r="B17" s="203" t="s">
        <v>321</v>
      </c>
      <c r="C17" s="203" t="s">
        <v>272</v>
      </c>
      <c r="D17" s="203" t="str">
        <f t="shared" si="0"/>
        <v>Schedule G - General Non-Demand</v>
      </c>
      <c r="E17" s="203" t="s">
        <v>259</v>
      </c>
      <c r="F17" s="207">
        <v>0.37608145999999998</v>
      </c>
    </row>
    <row r="18" spans="2:6" ht="15" x14ac:dyDescent="0.25">
      <c r="B18" s="205" t="s">
        <v>320</v>
      </c>
      <c r="C18" s="205" t="s">
        <v>272</v>
      </c>
      <c r="D18" s="205" t="str">
        <f t="shared" si="0"/>
        <v>Schedule J - General Demand</v>
      </c>
      <c r="E18" s="205" t="s">
        <v>283</v>
      </c>
      <c r="F18" s="204">
        <v>12.3825</v>
      </c>
    </row>
    <row r="19" spans="2:6" ht="15" x14ac:dyDescent="0.25">
      <c r="B19" s="205" t="s">
        <v>319</v>
      </c>
      <c r="C19" s="205" t="s">
        <v>272</v>
      </c>
      <c r="D19" s="205" t="str">
        <f t="shared" si="0"/>
        <v>Schedule J - General Demand</v>
      </c>
      <c r="E19" s="205" t="s">
        <v>259</v>
      </c>
      <c r="F19" s="204">
        <v>0.30038437000000001</v>
      </c>
    </row>
    <row r="20" spans="2:6" x14ac:dyDescent="0.2">
      <c r="B20" s="203" t="s">
        <v>318</v>
      </c>
      <c r="C20" s="203" t="s">
        <v>272</v>
      </c>
      <c r="D20" s="203" t="str">
        <f t="shared" si="0"/>
        <v>Schedule DS - Large Power Directly Served</v>
      </c>
      <c r="E20" s="203" t="s">
        <v>283</v>
      </c>
      <c r="F20" s="208">
        <v>0</v>
      </c>
    </row>
    <row r="21" spans="2:6" x14ac:dyDescent="0.2">
      <c r="B21" s="203" t="s">
        <v>317</v>
      </c>
      <c r="C21" s="203" t="s">
        <v>272</v>
      </c>
      <c r="D21" s="203" t="str">
        <f t="shared" si="0"/>
        <v>Schedule DS - Large Power Directly Served</v>
      </c>
      <c r="E21" s="203" t="s">
        <v>259</v>
      </c>
      <c r="F21" s="208">
        <v>0</v>
      </c>
    </row>
    <row r="22" spans="2:6" ht="15" x14ac:dyDescent="0.25">
      <c r="B22" s="205" t="s">
        <v>316</v>
      </c>
      <c r="C22" s="205" t="s">
        <v>272</v>
      </c>
      <c r="D22" s="205" t="str">
        <f t="shared" si="0"/>
        <v>Schedule P - Large Power</v>
      </c>
      <c r="E22" s="205" t="s">
        <v>283</v>
      </c>
      <c r="F22" s="204">
        <v>23.7775</v>
      </c>
    </row>
    <row r="23" spans="2:6" ht="15" x14ac:dyDescent="0.25">
      <c r="B23" s="205" t="s">
        <v>315</v>
      </c>
      <c r="C23" s="205" t="s">
        <v>272</v>
      </c>
      <c r="D23" s="205" t="str">
        <f t="shared" si="0"/>
        <v>Schedule P - Large Power</v>
      </c>
      <c r="E23" s="205" t="s">
        <v>259</v>
      </c>
      <c r="F23" s="204">
        <v>0.26344500999999998</v>
      </c>
    </row>
    <row r="24" spans="2:6" x14ac:dyDescent="0.2">
      <c r="B24" s="203" t="s">
        <v>314</v>
      </c>
      <c r="C24" s="203" t="s">
        <v>272</v>
      </c>
      <c r="D24" s="203" t="str">
        <f t="shared" si="0"/>
        <v>Schedule F - Public Street Lighting</v>
      </c>
      <c r="E24" s="203" t="s">
        <v>283</v>
      </c>
      <c r="F24" s="208">
        <v>0</v>
      </c>
    </row>
    <row r="25" spans="2:6" ht="15" x14ac:dyDescent="0.25">
      <c r="B25" s="203" t="s">
        <v>313</v>
      </c>
      <c r="C25" s="203" t="s">
        <v>272</v>
      </c>
      <c r="D25" s="203" t="str">
        <f t="shared" si="0"/>
        <v>Schedule F - Public Street Lighting</v>
      </c>
      <c r="E25" s="203" t="s">
        <v>259</v>
      </c>
      <c r="F25" s="207">
        <v>0.38388700999999997</v>
      </c>
    </row>
    <row r="26" spans="2:6" x14ac:dyDescent="0.2">
      <c r="B26" s="205" t="s">
        <v>312</v>
      </c>
      <c r="C26" s="205" t="s">
        <v>275</v>
      </c>
      <c r="D26" s="205" t="str">
        <f t="shared" ref="D26:D35" si="1">D6</f>
        <v>Schedule G - General Non-Demand</v>
      </c>
      <c r="E26" s="205" t="s">
        <v>283</v>
      </c>
      <c r="F26" s="206">
        <v>0</v>
      </c>
    </row>
    <row r="27" spans="2:6" ht="15" x14ac:dyDescent="0.25">
      <c r="B27" s="205" t="s">
        <v>311</v>
      </c>
      <c r="C27" s="205" t="s">
        <v>275</v>
      </c>
      <c r="D27" s="205" t="str">
        <f t="shared" si="1"/>
        <v>Schedule G - General Non-Demand</v>
      </c>
      <c r="E27" s="205" t="s">
        <v>259</v>
      </c>
      <c r="F27" s="204">
        <v>0.33829626000000002</v>
      </c>
    </row>
    <row r="28" spans="2:6" ht="15" x14ac:dyDescent="0.25">
      <c r="B28" s="203" t="s">
        <v>310</v>
      </c>
      <c r="C28" s="203" t="s">
        <v>275</v>
      </c>
      <c r="D28" s="203" t="str">
        <f t="shared" si="1"/>
        <v>Schedule J - General Demand</v>
      </c>
      <c r="E28" s="203" t="s">
        <v>283</v>
      </c>
      <c r="F28" s="207">
        <v>10.790832999999999</v>
      </c>
    </row>
    <row r="29" spans="2:6" ht="15" x14ac:dyDescent="0.25">
      <c r="B29" s="203" t="s">
        <v>309</v>
      </c>
      <c r="C29" s="203" t="s">
        <v>275</v>
      </c>
      <c r="D29" s="203" t="str">
        <f t="shared" si="1"/>
        <v>Schedule J - General Demand</v>
      </c>
      <c r="E29" s="203" t="s">
        <v>259</v>
      </c>
      <c r="F29" s="207">
        <v>0.29507910999999998</v>
      </c>
    </row>
    <row r="30" spans="2:6" x14ac:dyDescent="0.2">
      <c r="B30" s="205" t="s">
        <v>308</v>
      </c>
      <c r="C30" s="205" t="s">
        <v>275</v>
      </c>
      <c r="D30" s="205" t="str">
        <f t="shared" si="1"/>
        <v>Schedule DS - Large Power Directly Served</v>
      </c>
      <c r="E30" s="205" t="s">
        <v>283</v>
      </c>
      <c r="F30" s="206">
        <v>0</v>
      </c>
    </row>
    <row r="31" spans="2:6" x14ac:dyDescent="0.2">
      <c r="B31" s="205" t="s">
        <v>307</v>
      </c>
      <c r="C31" s="205" t="s">
        <v>275</v>
      </c>
      <c r="D31" s="205" t="str">
        <f t="shared" si="1"/>
        <v>Schedule DS - Large Power Directly Served</v>
      </c>
      <c r="E31" s="205" t="s">
        <v>259</v>
      </c>
      <c r="F31" s="206">
        <v>0</v>
      </c>
    </row>
    <row r="32" spans="2:6" ht="15" x14ac:dyDescent="0.25">
      <c r="B32" s="203" t="s">
        <v>306</v>
      </c>
      <c r="C32" s="203" t="s">
        <v>275</v>
      </c>
      <c r="D32" s="203" t="str">
        <f t="shared" si="1"/>
        <v>Schedule P - Large Power</v>
      </c>
      <c r="E32" s="203" t="s">
        <v>283</v>
      </c>
      <c r="F32" s="207">
        <v>21.537500000000001</v>
      </c>
    </row>
    <row r="33" spans="2:6" ht="15" x14ac:dyDescent="0.25">
      <c r="B33" s="203" t="s">
        <v>305</v>
      </c>
      <c r="C33" s="203" t="s">
        <v>275</v>
      </c>
      <c r="D33" s="203" t="str">
        <f t="shared" si="1"/>
        <v>Schedule P - Large Power</v>
      </c>
      <c r="E33" s="203" t="s">
        <v>259</v>
      </c>
      <c r="F33" s="207">
        <v>0.26778336000000003</v>
      </c>
    </row>
    <row r="34" spans="2:6" x14ac:dyDescent="0.2">
      <c r="B34" s="205" t="s">
        <v>304</v>
      </c>
      <c r="C34" s="205" t="s">
        <v>275</v>
      </c>
      <c r="D34" s="205" t="str">
        <f t="shared" si="1"/>
        <v>Schedule F - Public Street Lighting</v>
      </c>
      <c r="E34" s="205" t="s">
        <v>283</v>
      </c>
      <c r="F34" s="206">
        <v>0</v>
      </c>
    </row>
    <row r="35" spans="2:6" ht="15" x14ac:dyDescent="0.25">
      <c r="B35" s="205" t="s">
        <v>303</v>
      </c>
      <c r="C35" s="205" t="s">
        <v>275</v>
      </c>
      <c r="D35" s="205" t="str">
        <f t="shared" si="1"/>
        <v>Schedule F - Public Street Lighting</v>
      </c>
      <c r="E35" s="205" t="s">
        <v>259</v>
      </c>
      <c r="F35" s="204">
        <v>0.32200648999999998</v>
      </c>
    </row>
    <row r="36" spans="2:6" x14ac:dyDescent="0.2">
      <c r="B36" s="203" t="s">
        <v>302</v>
      </c>
      <c r="C36" s="203" t="s">
        <v>278</v>
      </c>
      <c r="D36" s="203" t="str">
        <f t="shared" ref="D36:D45" si="2">D6</f>
        <v>Schedule G - General Non-Demand</v>
      </c>
      <c r="E36" s="203" t="s">
        <v>283</v>
      </c>
      <c r="F36" s="208">
        <v>0</v>
      </c>
    </row>
    <row r="37" spans="2:6" ht="15" x14ac:dyDescent="0.25">
      <c r="B37" s="203" t="s">
        <v>301</v>
      </c>
      <c r="C37" s="203" t="s">
        <v>278</v>
      </c>
      <c r="D37" s="203" t="str">
        <f t="shared" si="2"/>
        <v>Schedule G - General Non-Demand</v>
      </c>
      <c r="E37" s="203" t="s">
        <v>259</v>
      </c>
      <c r="F37" s="207">
        <v>0.41300506999999997</v>
      </c>
    </row>
    <row r="38" spans="2:6" ht="15" x14ac:dyDescent="0.25">
      <c r="B38" s="205" t="s">
        <v>300</v>
      </c>
      <c r="C38" s="205" t="s">
        <v>278</v>
      </c>
      <c r="D38" s="205" t="str">
        <f t="shared" si="2"/>
        <v>Schedule J - General Demand</v>
      </c>
      <c r="E38" s="205" t="s">
        <v>283</v>
      </c>
      <c r="F38" s="204">
        <v>12.135833</v>
      </c>
    </row>
    <row r="39" spans="2:6" ht="15" x14ac:dyDescent="0.25">
      <c r="B39" s="205" t="s">
        <v>299</v>
      </c>
      <c r="C39" s="205" t="s">
        <v>278</v>
      </c>
      <c r="D39" s="205" t="str">
        <f t="shared" si="2"/>
        <v>Schedule J - General Demand</v>
      </c>
      <c r="E39" s="205" t="s">
        <v>259</v>
      </c>
      <c r="F39" s="204">
        <v>0.38990149000000002</v>
      </c>
    </row>
    <row r="40" spans="2:6" x14ac:dyDescent="0.2">
      <c r="B40" s="203" t="s">
        <v>298</v>
      </c>
      <c r="C40" s="203" t="s">
        <v>278</v>
      </c>
      <c r="D40" s="203" t="str">
        <f t="shared" si="2"/>
        <v>Schedule DS - Large Power Directly Served</v>
      </c>
      <c r="E40" s="203" t="s">
        <v>283</v>
      </c>
      <c r="F40" s="208">
        <v>0</v>
      </c>
    </row>
    <row r="41" spans="2:6" x14ac:dyDescent="0.2">
      <c r="B41" s="203" t="s">
        <v>297</v>
      </c>
      <c r="C41" s="203" t="s">
        <v>278</v>
      </c>
      <c r="D41" s="203" t="str">
        <f t="shared" si="2"/>
        <v>Schedule DS - Large Power Directly Served</v>
      </c>
      <c r="E41" s="203" t="s">
        <v>259</v>
      </c>
      <c r="F41" s="208">
        <v>0</v>
      </c>
    </row>
    <row r="42" spans="2:6" ht="15" x14ac:dyDescent="0.25">
      <c r="B42" s="205" t="s">
        <v>296</v>
      </c>
      <c r="C42" s="205" t="s">
        <v>278</v>
      </c>
      <c r="D42" s="205" t="str">
        <f t="shared" si="2"/>
        <v>Schedule P - Large Power</v>
      </c>
      <c r="E42" s="205" t="s">
        <v>283</v>
      </c>
      <c r="F42" s="204">
        <v>23.28</v>
      </c>
    </row>
    <row r="43" spans="2:6" ht="15" x14ac:dyDescent="0.25">
      <c r="B43" s="205" t="s">
        <v>295</v>
      </c>
      <c r="C43" s="205" t="s">
        <v>278</v>
      </c>
      <c r="D43" s="205" t="str">
        <f t="shared" si="2"/>
        <v>Schedule P - Large Power</v>
      </c>
      <c r="E43" s="205" t="s">
        <v>259</v>
      </c>
      <c r="F43" s="204">
        <v>0.36481296000000002</v>
      </c>
    </row>
    <row r="44" spans="2:6" x14ac:dyDescent="0.2">
      <c r="B44" s="203" t="s">
        <v>294</v>
      </c>
      <c r="C44" s="203" t="s">
        <v>278</v>
      </c>
      <c r="D44" s="203" t="str">
        <f t="shared" si="2"/>
        <v>Schedule F - Public Street Lighting</v>
      </c>
      <c r="E44" s="203" t="s">
        <v>283</v>
      </c>
      <c r="F44" s="208">
        <v>0</v>
      </c>
    </row>
    <row r="45" spans="2:6" ht="15" x14ac:dyDescent="0.25">
      <c r="B45" s="203" t="s">
        <v>293</v>
      </c>
      <c r="C45" s="203" t="s">
        <v>278</v>
      </c>
      <c r="D45" s="203" t="str">
        <f t="shared" si="2"/>
        <v>Schedule F - Public Street Lighting</v>
      </c>
      <c r="E45" s="203" t="s">
        <v>259</v>
      </c>
      <c r="F45" s="207">
        <v>0.40553586000000003</v>
      </c>
    </row>
    <row r="46" spans="2:6" x14ac:dyDescent="0.2">
      <c r="B46" s="205" t="s">
        <v>292</v>
      </c>
      <c r="C46" s="205" t="s">
        <v>281</v>
      </c>
      <c r="D46" s="205" t="str">
        <f t="shared" ref="D46:D55" si="3">D6</f>
        <v>Schedule G - General Non-Demand</v>
      </c>
      <c r="E46" s="205" t="s">
        <v>283</v>
      </c>
      <c r="F46" s="206">
        <v>0</v>
      </c>
    </row>
    <row r="47" spans="2:6" ht="15" x14ac:dyDescent="0.25">
      <c r="B47" s="205" t="s">
        <v>291</v>
      </c>
      <c r="C47" s="205" t="s">
        <v>281</v>
      </c>
      <c r="D47" s="205" t="str">
        <f t="shared" si="3"/>
        <v>Schedule G - General Non-Demand</v>
      </c>
      <c r="E47" s="205" t="s">
        <v>259</v>
      </c>
      <c r="F47" s="204">
        <v>0.44047902</v>
      </c>
    </row>
    <row r="48" spans="2:6" ht="15" x14ac:dyDescent="0.25">
      <c r="B48" s="203" t="s">
        <v>290</v>
      </c>
      <c r="C48" s="203" t="s">
        <v>281</v>
      </c>
      <c r="D48" s="203" t="str">
        <f t="shared" si="3"/>
        <v>Schedule J - General Demand</v>
      </c>
      <c r="E48" s="203" t="s">
        <v>283</v>
      </c>
      <c r="F48" s="207">
        <v>10.738333000000001</v>
      </c>
    </row>
    <row r="49" spans="2:6" ht="15" x14ac:dyDescent="0.25">
      <c r="B49" s="203" t="s">
        <v>289</v>
      </c>
      <c r="C49" s="203" t="s">
        <v>281</v>
      </c>
      <c r="D49" s="203" t="str">
        <f t="shared" si="3"/>
        <v>Schedule J - General Demand</v>
      </c>
      <c r="E49" s="203" t="s">
        <v>259</v>
      </c>
      <c r="F49" s="207">
        <v>0.35948955999999999</v>
      </c>
    </row>
    <row r="50" spans="2:6" x14ac:dyDescent="0.2">
      <c r="B50" s="205" t="s">
        <v>288</v>
      </c>
      <c r="C50" s="205" t="s">
        <v>281</v>
      </c>
      <c r="D50" s="205" t="str">
        <f t="shared" si="3"/>
        <v>Schedule DS - Large Power Directly Served</v>
      </c>
      <c r="E50" s="205" t="s">
        <v>283</v>
      </c>
      <c r="F50" s="206">
        <v>0</v>
      </c>
    </row>
    <row r="51" spans="2:6" x14ac:dyDescent="0.2">
      <c r="B51" s="205" t="s">
        <v>287</v>
      </c>
      <c r="C51" s="205" t="s">
        <v>281</v>
      </c>
      <c r="D51" s="205" t="str">
        <f t="shared" si="3"/>
        <v>Schedule DS - Large Power Directly Served</v>
      </c>
      <c r="E51" s="205" t="s">
        <v>259</v>
      </c>
      <c r="F51" s="206">
        <v>0</v>
      </c>
    </row>
    <row r="52" spans="2:6" ht="15" x14ac:dyDescent="0.25">
      <c r="B52" s="203" t="s">
        <v>286</v>
      </c>
      <c r="C52" s="203" t="s">
        <v>281</v>
      </c>
      <c r="D52" s="203" t="str">
        <f t="shared" si="3"/>
        <v>Schedule P - Large Power</v>
      </c>
      <c r="E52" s="203" t="s">
        <v>283</v>
      </c>
      <c r="F52" s="207">
        <v>18.952500000000001</v>
      </c>
    </row>
    <row r="53" spans="2:6" ht="15" x14ac:dyDescent="0.25">
      <c r="B53" s="203" t="s">
        <v>285</v>
      </c>
      <c r="C53" s="203" t="s">
        <v>281</v>
      </c>
      <c r="D53" s="203" t="str">
        <f t="shared" si="3"/>
        <v>Schedule P - Large Power</v>
      </c>
      <c r="E53" s="203" t="s">
        <v>259</v>
      </c>
      <c r="F53" s="207">
        <v>0.28328745999999999</v>
      </c>
    </row>
    <row r="54" spans="2:6" x14ac:dyDescent="0.2">
      <c r="B54" s="205" t="s">
        <v>284</v>
      </c>
      <c r="C54" s="205" t="s">
        <v>281</v>
      </c>
      <c r="D54" s="205" t="str">
        <f t="shared" si="3"/>
        <v>Schedule F - Public Street Lighting</v>
      </c>
      <c r="E54" s="205" t="s">
        <v>283</v>
      </c>
      <c r="F54" s="206">
        <v>0</v>
      </c>
    </row>
    <row r="55" spans="2:6" ht="15" x14ac:dyDescent="0.25">
      <c r="B55" s="205" t="s">
        <v>282</v>
      </c>
      <c r="C55" s="205" t="s">
        <v>281</v>
      </c>
      <c r="D55" s="205" t="str">
        <f t="shared" si="3"/>
        <v>Schedule F - Public Street Lighting</v>
      </c>
      <c r="E55" s="205" t="s">
        <v>259</v>
      </c>
      <c r="F55" s="204">
        <v>0.39105954999999998</v>
      </c>
    </row>
  </sheetData>
  <mergeCells count="1">
    <mergeCell ref="B1: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8"/>
  <sheetViews>
    <sheetView showGridLines="0" workbookViewId="0">
      <selection activeCell="E26" sqref="E26"/>
    </sheetView>
  </sheetViews>
  <sheetFormatPr defaultRowHeight="15" x14ac:dyDescent="0.25"/>
  <cols>
    <col min="1" max="1" width="3.5703125" customWidth="1"/>
    <col min="2" max="2" width="18.5703125" bestFit="1" customWidth="1"/>
    <col min="3" max="3" width="18" bestFit="1" customWidth="1"/>
    <col min="4" max="4" width="12.28515625" bestFit="1" customWidth="1"/>
    <col min="5" max="5" width="13.7109375" bestFit="1" customWidth="1"/>
    <col min="6" max="6" width="17.7109375" customWidth="1"/>
    <col min="7" max="7" width="19.42578125" customWidth="1"/>
    <col min="8" max="8" width="3.28515625" customWidth="1"/>
    <col min="9" max="9" width="13.7109375" hidden="1" customWidth="1"/>
    <col min="10" max="10" width="20.42578125" hidden="1" customWidth="1"/>
    <col min="11" max="11" width="21" hidden="1" customWidth="1"/>
    <col min="12" max="12" width="9.140625" hidden="1" customWidth="1"/>
    <col min="13" max="13" width="20.42578125" hidden="1" customWidth="1"/>
    <col min="14" max="14" width="21" hidden="1" customWidth="1"/>
  </cols>
  <sheetData>
    <row r="1" spans="2:14" ht="15.75" thickBot="1" x14ac:dyDescent="0.3">
      <c r="B1" s="28" t="s">
        <v>27</v>
      </c>
    </row>
    <row r="2" spans="2:14" ht="16.5" thickBot="1" x14ac:dyDescent="0.3">
      <c r="B2" s="466" t="s">
        <v>41</v>
      </c>
      <c r="C2" s="467"/>
      <c r="D2" s="467"/>
      <c r="E2" s="467"/>
      <c r="F2" s="467"/>
      <c r="G2" s="468"/>
    </row>
    <row r="4" spans="2:14" x14ac:dyDescent="0.25">
      <c r="B4" s="464" t="s">
        <v>16</v>
      </c>
      <c r="C4" s="464"/>
      <c r="D4" s="464"/>
      <c r="E4" s="464"/>
      <c r="F4" s="464"/>
      <c r="G4" s="464"/>
      <c r="H4" s="19"/>
      <c r="I4" s="19"/>
      <c r="J4" s="19"/>
    </row>
    <row r="5" spans="2:14" x14ac:dyDescent="0.25">
      <c r="B5" s="23" t="s">
        <v>17</v>
      </c>
      <c r="C5" s="23" t="s">
        <v>18</v>
      </c>
      <c r="D5" s="23" t="s">
        <v>19</v>
      </c>
      <c r="E5" s="23" t="s">
        <v>20</v>
      </c>
      <c r="F5" s="23" t="s">
        <v>21</v>
      </c>
      <c r="G5" s="23" t="s">
        <v>11</v>
      </c>
      <c r="H5" s="19"/>
      <c r="I5" s="19"/>
      <c r="J5" s="19"/>
      <c r="M5" s="23" t="s">
        <v>257</v>
      </c>
      <c r="N5" s="23" t="s">
        <v>258</v>
      </c>
    </row>
    <row r="6" spans="2:14" x14ac:dyDescent="0.25">
      <c r="B6" s="24" t="s">
        <v>22</v>
      </c>
      <c r="C6" s="24" t="s">
        <v>23</v>
      </c>
      <c r="D6" s="25">
        <v>123456789</v>
      </c>
      <c r="E6" s="25" t="s">
        <v>256</v>
      </c>
      <c r="F6" s="24">
        <v>1</v>
      </c>
      <c r="G6" s="236">
        <f>IFERROR(F6*INDEX($J$6:$K$9,MATCH(E6,$J$6:$J$9,0),2),"")</f>
        <v>1500</v>
      </c>
      <c r="H6" s="19"/>
      <c r="I6" s="187" t="s">
        <v>24</v>
      </c>
      <c r="J6" s="188" t="s">
        <v>256</v>
      </c>
      <c r="K6" s="188">
        <v>1500</v>
      </c>
      <c r="M6" s="25">
        <f>IFERROR(F6*INDEX($I$13:$K$16,MATCH(E6,$I$13:$I$16,0),2),"")</f>
        <v>2.8639999999999999</v>
      </c>
      <c r="N6" s="193">
        <f>IFERROR(F6*INDEX($I$13:$K$16,MATCH(E6,$I$13:$I$16,0),3),"")</f>
        <v>13939.24</v>
      </c>
    </row>
    <row r="7" spans="2:14" x14ac:dyDescent="0.25">
      <c r="B7" s="26"/>
      <c r="C7" s="26"/>
      <c r="D7" s="26"/>
      <c r="E7" s="27"/>
      <c r="F7" s="26"/>
      <c r="G7" s="236" t="str">
        <f t="shared" ref="G7:G11" si="0">IFERROR(F7*INDEX($J$6:$K$9,MATCH(E7,$J$6:$J$9,0),2),"")</f>
        <v/>
      </c>
      <c r="H7" s="19"/>
      <c r="I7" s="187" t="s">
        <v>25</v>
      </c>
      <c r="J7" s="188" t="s">
        <v>403</v>
      </c>
      <c r="K7" s="188">
        <v>3000</v>
      </c>
      <c r="M7" s="194" t="str">
        <f>IFERROR(F7*INDEX($I$13:$K$16,MATCH(E7,$I$13:$I$16,0),2),"")</f>
        <v/>
      </c>
      <c r="N7" s="195" t="str">
        <f t="shared" ref="N7:N11" si="1">IFERROR(F7*INDEX($I$13:$K$16,MATCH(E7,$I$13:$I$16,0),3),"")</f>
        <v/>
      </c>
    </row>
    <row r="8" spans="2:14" x14ac:dyDescent="0.25">
      <c r="B8" s="26"/>
      <c r="C8" s="26"/>
      <c r="D8" s="26"/>
      <c r="E8" s="26"/>
      <c r="F8" s="26"/>
      <c r="G8" s="236" t="str">
        <f t="shared" si="0"/>
        <v/>
      </c>
      <c r="H8" s="19"/>
      <c r="I8" s="19"/>
      <c r="J8" s="188" t="s">
        <v>254</v>
      </c>
      <c r="K8" s="188">
        <v>3000</v>
      </c>
      <c r="M8" s="194" t="str">
        <f t="shared" ref="M8:M11" si="2">IFERROR(F8*INDEX($I$13:$K$16,MATCH(E8,$I$13:$I$16,0),2),"")</f>
        <v/>
      </c>
      <c r="N8" s="195" t="str">
        <f t="shared" si="1"/>
        <v/>
      </c>
    </row>
    <row r="9" spans="2:14" x14ac:dyDescent="0.25">
      <c r="B9" s="26"/>
      <c r="C9" s="26"/>
      <c r="D9" s="26"/>
      <c r="E9" s="26"/>
      <c r="F9" s="27"/>
      <c r="G9" s="236" t="str">
        <f t="shared" si="0"/>
        <v/>
      </c>
      <c r="H9" s="19"/>
      <c r="I9" s="19"/>
      <c r="J9" s="188" t="s">
        <v>253</v>
      </c>
      <c r="K9" s="188">
        <v>3000</v>
      </c>
      <c r="M9" s="194" t="str">
        <f t="shared" si="2"/>
        <v/>
      </c>
      <c r="N9" s="195" t="str">
        <f t="shared" si="1"/>
        <v/>
      </c>
    </row>
    <row r="10" spans="2:14" x14ac:dyDescent="0.25">
      <c r="B10" s="26"/>
      <c r="C10" s="26"/>
      <c r="D10" s="26"/>
      <c r="E10" s="26"/>
      <c r="F10" s="27"/>
      <c r="G10" s="236" t="str">
        <f t="shared" si="0"/>
        <v/>
      </c>
      <c r="H10" s="19"/>
      <c r="I10" s="19"/>
      <c r="J10" s="19"/>
      <c r="M10" s="194" t="str">
        <f t="shared" si="2"/>
        <v/>
      </c>
      <c r="N10" s="195" t="str">
        <f t="shared" si="1"/>
        <v/>
      </c>
    </row>
    <row r="11" spans="2:14" x14ac:dyDescent="0.25">
      <c r="B11" s="26"/>
      <c r="C11" s="26"/>
      <c r="D11" s="26"/>
      <c r="E11" s="26"/>
      <c r="F11" s="27"/>
      <c r="G11" s="236" t="str">
        <f t="shared" si="0"/>
        <v/>
      </c>
      <c r="H11" s="19"/>
      <c r="I11" s="19"/>
      <c r="J11" s="19"/>
      <c r="M11" s="194" t="str">
        <f t="shared" si="2"/>
        <v/>
      </c>
      <c r="N11" s="195" t="str">
        <f t="shared" si="1"/>
        <v/>
      </c>
    </row>
    <row r="12" spans="2:14" ht="15.75" x14ac:dyDescent="0.25">
      <c r="B12" s="465" t="s">
        <v>26</v>
      </c>
      <c r="C12" s="465"/>
      <c r="D12" s="465"/>
      <c r="E12" s="465"/>
      <c r="F12" s="465"/>
      <c r="G12" s="237">
        <f>SUM(G7:G11)</f>
        <v>0</v>
      </c>
      <c r="H12" s="19"/>
      <c r="I12" s="189" t="s">
        <v>53</v>
      </c>
      <c r="J12" s="190" t="s">
        <v>257</v>
      </c>
      <c r="K12" s="190" t="s">
        <v>258</v>
      </c>
    </row>
    <row r="13" spans="2:14" x14ac:dyDescent="0.25">
      <c r="I13" s="191" t="s">
        <v>256</v>
      </c>
      <c r="J13" s="191">
        <v>2.8639999999999999</v>
      </c>
      <c r="K13" s="192">
        <v>13939.24</v>
      </c>
    </row>
    <row r="14" spans="2:14" x14ac:dyDescent="0.25">
      <c r="I14" s="191" t="s">
        <v>403</v>
      </c>
      <c r="J14" s="191">
        <v>2.9649999999999999</v>
      </c>
      <c r="K14" s="192">
        <v>14428.22</v>
      </c>
    </row>
    <row r="15" spans="2:14" x14ac:dyDescent="0.25">
      <c r="I15" s="191" t="s">
        <v>254</v>
      </c>
      <c r="J15" s="191">
        <v>4.524</v>
      </c>
      <c r="K15" s="192">
        <v>22014.77</v>
      </c>
    </row>
    <row r="16" spans="2:14" ht="25.5" x14ac:dyDescent="0.25">
      <c r="B16" s="196" t="s">
        <v>260</v>
      </c>
      <c r="C16" s="23" t="s">
        <v>402</v>
      </c>
      <c r="D16" s="23" t="s">
        <v>258</v>
      </c>
      <c r="F16" s="211" t="s">
        <v>342</v>
      </c>
      <c r="G16" s="211" t="s">
        <v>401</v>
      </c>
      <c r="I16" s="191" t="s">
        <v>253</v>
      </c>
      <c r="J16" s="191">
        <v>2.2850000000000001</v>
      </c>
      <c r="K16" s="192">
        <v>11121.02</v>
      </c>
    </row>
    <row r="17" spans="2:7" x14ac:dyDescent="0.25">
      <c r="B17" s="197"/>
      <c r="C17" s="230">
        <f>SUM(M7:M11)</f>
        <v>0</v>
      </c>
      <c r="D17" s="231">
        <f>SUM(N7:N11)</f>
        <v>0</v>
      </c>
      <c r="E17" s="233"/>
      <c r="F17" s="234" t="str">
        <f>IFERROR(ROUND(B17/#REF!,1),"")</f>
        <v/>
      </c>
      <c r="G17" s="235" t="str">
        <f>IFERROR(ROUND((B17-G12)/#REF!,1),"")</f>
        <v/>
      </c>
    </row>
    <row r="18" spans="2:7" hidden="1" x14ac:dyDescent="0.25">
      <c r="C18" s="210" t="e">
        <f>C17*Summary!F5*12</f>
        <v>#VALUE!</v>
      </c>
      <c r="D18" s="210" t="e">
        <f>D17*Summary!G5</f>
        <v>#VALUE!</v>
      </c>
    </row>
  </sheetData>
  <sheetProtection algorithmName="SHA-512" hashValue="WukPZiWgbLtGb06F2Fv+QgczonUodupyYaZOOSPByEJbMcbEwWqiMI5Q2jUnIEV08uVZb3+Lq0CwY0vU3oQrJQ==" saltValue="9bX8mVmyXgWVr88nu6h7kw==" spinCount="100000" sheet="1" objects="1" scenarios="1"/>
  <mergeCells count="3">
    <mergeCell ref="B4:G4"/>
    <mergeCell ref="B12:F12"/>
    <mergeCell ref="B2:G2"/>
  </mergeCells>
  <conditionalFormatting sqref="F16:G17">
    <cfRule type="expression" dxfId="10" priority="1">
      <formula>ISBLANK($B$17)</formula>
    </cfRule>
  </conditionalFormatting>
  <dataValidations count="1">
    <dataValidation type="list" allowBlank="1" showInputMessage="1" showErrorMessage="1" sqref="E6:E11" xr:uid="{C06C2580-E864-4B79-8701-B28E2051FB47}">
      <formula1>$J$6:$J$9</formula1>
    </dataValidation>
  </dataValidations>
  <hyperlinks>
    <hyperlink ref="B1" location="Summary!A1" display="Back to Summary Page"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8"/>
  <sheetViews>
    <sheetView showGridLines="0" workbookViewId="0">
      <selection activeCell="I12" sqref="I12"/>
    </sheetView>
  </sheetViews>
  <sheetFormatPr defaultRowHeight="15" x14ac:dyDescent="0.25"/>
  <cols>
    <col min="1" max="1" width="3.28515625" customWidth="1"/>
    <col min="2" max="4" width="13" customWidth="1"/>
    <col min="5" max="5" width="15.7109375" customWidth="1"/>
    <col min="6" max="9" width="13" customWidth="1"/>
    <col min="11" max="15" width="9.140625" hidden="1" customWidth="1"/>
    <col min="16" max="16" width="21.42578125" hidden="1" customWidth="1"/>
    <col min="17" max="17" width="20.42578125" hidden="1" customWidth="1"/>
    <col min="18" max="18" width="21" hidden="1" customWidth="1"/>
    <col min="19" max="23" width="9.140625" hidden="1" customWidth="1"/>
  </cols>
  <sheetData>
    <row r="1" spans="2:23" ht="15.75" thickBot="1" x14ac:dyDescent="0.3">
      <c r="B1" s="28" t="s">
        <v>27</v>
      </c>
    </row>
    <row r="2" spans="2:23" ht="16.149999999999999" customHeight="1" thickBot="1" x14ac:dyDescent="0.3">
      <c r="B2" s="466" t="s">
        <v>47</v>
      </c>
      <c r="C2" s="467"/>
      <c r="D2" s="467"/>
      <c r="E2" s="467"/>
      <c r="F2" s="467"/>
      <c r="G2" s="467"/>
      <c r="H2" s="467"/>
      <c r="I2" s="468"/>
    </row>
    <row r="4" spans="2:23" x14ac:dyDescent="0.25">
      <c r="B4" s="479" t="s">
        <v>16</v>
      </c>
      <c r="C4" s="480"/>
      <c r="D4" s="480"/>
      <c r="E4" s="480"/>
      <c r="F4" s="480"/>
      <c r="G4" s="480"/>
      <c r="H4" s="480"/>
      <c r="I4" s="481"/>
    </row>
    <row r="5" spans="2:23" ht="45.75" thickBot="1" x14ac:dyDescent="0.3">
      <c r="B5" s="35" t="s">
        <v>17</v>
      </c>
      <c r="C5" s="35" t="s">
        <v>18</v>
      </c>
      <c r="D5" s="36" t="s">
        <v>19</v>
      </c>
      <c r="E5" s="36" t="s">
        <v>43</v>
      </c>
      <c r="F5" s="37" t="s">
        <v>44</v>
      </c>
      <c r="G5" s="37" t="s">
        <v>45</v>
      </c>
      <c r="H5" s="37" t="s">
        <v>21</v>
      </c>
      <c r="I5" s="35" t="s">
        <v>11</v>
      </c>
      <c r="M5" s="85" t="s">
        <v>257</v>
      </c>
      <c r="N5" s="85" t="s">
        <v>258</v>
      </c>
    </row>
    <row r="6" spans="2:23" ht="15.75" thickTop="1" x14ac:dyDescent="0.25">
      <c r="B6" s="38" t="s">
        <v>46</v>
      </c>
      <c r="C6" s="38" t="s">
        <v>23</v>
      </c>
      <c r="D6" s="39">
        <v>123456789</v>
      </c>
      <c r="E6" s="39" t="s">
        <v>29</v>
      </c>
      <c r="F6" s="40">
        <v>0.8</v>
      </c>
      <c r="G6" s="41">
        <v>240</v>
      </c>
      <c r="H6" s="41">
        <v>1</v>
      </c>
      <c r="I6" s="238">
        <v>1000</v>
      </c>
      <c r="K6" s="49" t="s">
        <v>43</v>
      </c>
      <c r="M6" s="41">
        <f>IFERROR(IF(I6="Not Qualified",0,$H6*INDEX($P$17:$R$18,MATCH($E6,$P$17:$P$18,0),2)),"")</f>
        <v>0.60699999999999998</v>
      </c>
      <c r="N6" s="41">
        <f>IFERROR(IF(I6="Not Qualified",0,$H6*INDEX($P$17:$R$18,MATCH($E6,$P$17:$P$18,0),3)),"")</f>
        <v>2659.29</v>
      </c>
      <c r="P6" s="473" t="s">
        <v>30</v>
      </c>
      <c r="Q6" s="474"/>
      <c r="R6" s="474"/>
      <c r="S6" s="474"/>
      <c r="T6" s="474"/>
      <c r="U6" s="474"/>
      <c r="V6" s="474"/>
      <c r="W6" s="475"/>
    </row>
    <row r="7" spans="2:23" ht="15.75" thickBot="1" x14ac:dyDescent="0.3">
      <c r="B7" s="42"/>
      <c r="C7" s="42"/>
      <c r="D7" s="43"/>
      <c r="E7" s="44"/>
      <c r="F7" s="45"/>
      <c r="G7" s="42"/>
      <c r="H7" s="46"/>
      <c r="I7" s="239">
        <f>IF(E7=$K$7, IF(AND(F7&gt;=0.83,G7&lt;=800,G7&gt;0), H7*$W$8, "Not Qualified"), IF(E7=$K$8, IF(AND(F7&gt;=0.8,G7&lt;=1100,G7&gt;0), H7*$W$13, "Not Qualified"),0))</f>
        <v>0</v>
      </c>
      <c r="K7" s="50" t="s">
        <v>28</v>
      </c>
      <c r="M7" s="212" t="str">
        <f t="shared" ref="M7:M11" si="0">IFERROR(IF(I7="Not Qualified",0,$H7*INDEX($P$17:$R$18,MATCH($E7,$P$17:$P$18,0),2)),"")</f>
        <v/>
      </c>
      <c r="N7" s="212" t="str">
        <f t="shared" ref="N7:N11" si="1">IFERROR(IF(I7="Not Qualified",0,$H7*INDEX($P$17:$R$18,MATCH($E7,$P$17:$P$18,0),3)),"")</f>
        <v/>
      </c>
      <c r="P7" s="476" t="s">
        <v>31</v>
      </c>
      <c r="Q7" s="477"/>
      <c r="R7" s="477"/>
      <c r="S7" s="477"/>
      <c r="T7" s="477"/>
      <c r="U7" s="477"/>
      <c r="V7" s="477"/>
      <c r="W7" s="478"/>
    </row>
    <row r="8" spans="2:23" ht="15.75" thickTop="1" x14ac:dyDescent="0.25">
      <c r="B8" s="42"/>
      <c r="C8" s="42"/>
      <c r="D8" s="43"/>
      <c r="E8" s="44"/>
      <c r="F8" s="45"/>
      <c r="G8" s="42"/>
      <c r="H8" s="47"/>
      <c r="I8" s="239">
        <f t="shared" ref="I8:I11" si="2">IF(E8=$K$7, IF(AND(F8&gt;=0.83,G8&lt;=800,G8&gt;0), H8*$W$8, "Not Qualified"), IF(E8=$K$8, IF(AND(F8&gt;=0.8,G8&lt;=1100,G8&gt;0), H8*$W$13, "Not Qualified"),0))</f>
        <v>0</v>
      </c>
      <c r="K8" s="51" t="s">
        <v>29</v>
      </c>
      <c r="M8" s="212" t="str">
        <f t="shared" si="0"/>
        <v/>
      </c>
      <c r="N8" s="212" t="str">
        <f t="shared" si="1"/>
        <v/>
      </c>
      <c r="P8" s="483" t="s">
        <v>32</v>
      </c>
      <c r="Q8" s="484"/>
      <c r="R8" s="485"/>
      <c r="S8" s="486" t="s">
        <v>33</v>
      </c>
      <c r="T8" s="484"/>
      <c r="U8" s="484"/>
      <c r="V8" s="485"/>
      <c r="W8" s="487">
        <v>600</v>
      </c>
    </row>
    <row r="9" spans="2:23" ht="15.75" thickBot="1" x14ac:dyDescent="0.3">
      <c r="B9" s="42"/>
      <c r="C9" s="42"/>
      <c r="D9" s="43"/>
      <c r="E9" s="44"/>
      <c r="F9" s="45"/>
      <c r="G9" s="42"/>
      <c r="H9" s="47"/>
      <c r="I9" s="239">
        <f t="shared" si="2"/>
        <v>0</v>
      </c>
      <c r="M9" s="212" t="str">
        <f t="shared" si="0"/>
        <v/>
      </c>
      <c r="N9" s="212" t="str">
        <f t="shared" si="1"/>
        <v/>
      </c>
      <c r="P9" s="469" t="s">
        <v>34</v>
      </c>
      <c r="Q9" s="470"/>
      <c r="R9" s="471"/>
      <c r="S9" s="472" t="s">
        <v>35</v>
      </c>
      <c r="T9" s="470"/>
      <c r="U9" s="470"/>
      <c r="V9" s="471"/>
      <c r="W9" s="488"/>
    </row>
    <row r="10" spans="2:23" ht="16.5" thickTop="1" thickBot="1" x14ac:dyDescent="0.3">
      <c r="B10" s="42"/>
      <c r="C10" s="42"/>
      <c r="D10" s="43"/>
      <c r="E10" s="44"/>
      <c r="F10" s="45"/>
      <c r="G10" s="42"/>
      <c r="H10" s="47"/>
      <c r="I10" s="239">
        <f t="shared" si="2"/>
        <v>0</v>
      </c>
      <c r="M10" s="212" t="str">
        <f t="shared" si="0"/>
        <v/>
      </c>
      <c r="N10" s="212" t="str">
        <f t="shared" si="1"/>
        <v/>
      </c>
      <c r="P10" s="29"/>
      <c r="Q10" s="29"/>
      <c r="R10" s="29"/>
      <c r="S10" s="29"/>
      <c r="T10" s="29"/>
      <c r="U10" s="30"/>
      <c r="V10" s="31"/>
      <c r="W10" s="32"/>
    </row>
    <row r="11" spans="2:23" ht="15.75" thickTop="1" x14ac:dyDescent="0.25">
      <c r="B11" s="42"/>
      <c r="C11" s="42"/>
      <c r="D11" s="43"/>
      <c r="E11" s="44"/>
      <c r="F11" s="45"/>
      <c r="G11" s="42"/>
      <c r="H11" s="47"/>
      <c r="I11" s="239">
        <f t="shared" si="2"/>
        <v>0</v>
      </c>
      <c r="M11" s="212" t="str">
        <f t="shared" si="0"/>
        <v/>
      </c>
      <c r="N11" s="212" t="str">
        <f t="shared" si="1"/>
        <v/>
      </c>
      <c r="P11" s="473" t="s">
        <v>36</v>
      </c>
      <c r="Q11" s="474"/>
      <c r="R11" s="474"/>
      <c r="S11" s="474"/>
      <c r="T11" s="474"/>
      <c r="U11" s="474"/>
      <c r="V11" s="474"/>
      <c r="W11" s="475"/>
    </row>
    <row r="12" spans="2:23" ht="16.5" thickBot="1" x14ac:dyDescent="0.3">
      <c r="B12" s="482" t="s">
        <v>26</v>
      </c>
      <c r="C12" s="482"/>
      <c r="D12" s="482"/>
      <c r="E12" s="482"/>
      <c r="F12" s="482"/>
      <c r="G12" s="482"/>
      <c r="H12" s="482"/>
      <c r="I12" s="237">
        <f>SUM(I7:I11)</f>
        <v>0</v>
      </c>
      <c r="P12" s="476" t="s">
        <v>31</v>
      </c>
      <c r="Q12" s="477"/>
      <c r="R12" s="477"/>
      <c r="S12" s="477"/>
      <c r="T12" s="477"/>
      <c r="U12" s="477"/>
      <c r="V12" s="477"/>
      <c r="W12" s="478"/>
    </row>
    <row r="13" spans="2:23" ht="15.75" thickTop="1" x14ac:dyDescent="0.25">
      <c r="P13" s="489" t="s">
        <v>32</v>
      </c>
      <c r="Q13" s="490"/>
      <c r="R13" s="491"/>
      <c r="S13" s="486" t="s">
        <v>37</v>
      </c>
      <c r="T13" s="484"/>
      <c r="U13" s="484"/>
      <c r="V13" s="485"/>
      <c r="W13" s="492">
        <v>1000</v>
      </c>
    </row>
    <row r="14" spans="2:23" ht="15.75" thickBot="1" x14ac:dyDescent="0.3">
      <c r="P14" s="469" t="s">
        <v>34</v>
      </c>
      <c r="Q14" s="470"/>
      <c r="R14" s="471"/>
      <c r="S14" s="472" t="s">
        <v>38</v>
      </c>
      <c r="T14" s="470"/>
      <c r="U14" s="470"/>
      <c r="V14" s="471"/>
      <c r="W14" s="488"/>
    </row>
    <row r="15" spans="2:23" ht="39" thickTop="1" x14ac:dyDescent="0.25">
      <c r="B15" s="196" t="s">
        <v>260</v>
      </c>
      <c r="C15" s="23" t="s">
        <v>402</v>
      </c>
      <c r="D15" s="23" t="s">
        <v>258</v>
      </c>
      <c r="E15" s="196" t="s">
        <v>369</v>
      </c>
      <c r="H15" s="211" t="s">
        <v>342</v>
      </c>
      <c r="I15" s="211" t="s">
        <v>401</v>
      </c>
    </row>
    <row r="16" spans="2:23" x14ac:dyDescent="0.25">
      <c r="B16" s="197"/>
      <c r="C16" s="230">
        <f>SUM(M7:M11)</f>
        <v>0</v>
      </c>
      <c r="D16" s="231">
        <f>SUM(N7:N11)</f>
        <v>0</v>
      </c>
      <c r="E16" s="232" t="str">
        <f>IFERROR(C17+D17,"Select Rate and Island from Summary Page")</f>
        <v>Select Rate and Island from Summary Page</v>
      </c>
      <c r="F16" s="233"/>
      <c r="G16" s="233"/>
      <c r="H16" s="234" t="str">
        <f>IFERROR(ROUND(B16/E16,1),"")</f>
        <v/>
      </c>
      <c r="I16" s="235" t="str">
        <f>IFERROR(ROUND((B16-I12)/E16,1),"")</f>
        <v/>
      </c>
      <c r="P16" s="188" t="s">
        <v>343</v>
      </c>
      <c r="Q16" s="188" t="s">
        <v>257</v>
      </c>
      <c r="R16" s="188" t="s">
        <v>258</v>
      </c>
    </row>
    <row r="17" spans="3:18" hidden="1" x14ac:dyDescent="0.25">
      <c r="C17" s="210" t="e">
        <f>C16*Summary!F5*12</f>
        <v>#VALUE!</v>
      </c>
      <c r="D17" s="210" t="e">
        <f>D16*Summary!G5</f>
        <v>#VALUE!</v>
      </c>
      <c r="P17" s="188" t="s">
        <v>28</v>
      </c>
      <c r="Q17" s="188">
        <v>0.25</v>
      </c>
      <c r="R17" s="188">
        <v>1093.0899999999999</v>
      </c>
    </row>
    <row r="18" spans="3:18" x14ac:dyDescent="0.25">
      <c r="P18" s="188" t="s">
        <v>29</v>
      </c>
      <c r="Q18" s="188">
        <v>0.60699999999999998</v>
      </c>
      <c r="R18" s="188">
        <v>2659.29</v>
      </c>
    </row>
  </sheetData>
  <sheetProtection algorithmName="SHA-512" hashValue="MXMdsMjJ4L0FmA6WcYPoSygub/lztwkwqS8dt9s9emX2CHAv7lwSZuCXsTJ4YNOHhlS7Ye87r4ty6xhy3hyfNw==" saltValue="mL1tfgGPdlK4CWLRFzogTg==" spinCount="100000" sheet="1" objects="1" scenarios="1"/>
  <mergeCells count="17">
    <mergeCell ref="P13:R13"/>
    <mergeCell ref="S13:V13"/>
    <mergeCell ref="W13:W14"/>
    <mergeCell ref="P14:R14"/>
    <mergeCell ref="S14:V14"/>
    <mergeCell ref="P9:R9"/>
    <mergeCell ref="S9:V9"/>
    <mergeCell ref="P11:W11"/>
    <mergeCell ref="B2:I2"/>
    <mergeCell ref="P12:W12"/>
    <mergeCell ref="B4:I4"/>
    <mergeCell ref="B12:H12"/>
    <mergeCell ref="P6:W6"/>
    <mergeCell ref="P7:W7"/>
    <mergeCell ref="P8:R8"/>
    <mergeCell ref="S8:V8"/>
    <mergeCell ref="W8:W9"/>
  </mergeCells>
  <conditionalFormatting sqref="H15:I16">
    <cfRule type="expression" dxfId="9" priority="1">
      <formula>ISBLANK($B$16)</formula>
    </cfRule>
  </conditionalFormatting>
  <dataValidations count="1">
    <dataValidation type="list" allowBlank="1" showInputMessage="1" showErrorMessage="1" sqref="E6:E11" xr:uid="{00000000-0002-0000-0200-000000000000}">
      <formula1>$K$7:$K$8</formula1>
    </dataValidation>
  </dataValidations>
  <hyperlinks>
    <hyperlink ref="B1" location="Summary!A1" display="Back to Summary Page"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8"/>
  <sheetViews>
    <sheetView showGridLines="0" zoomScaleNormal="100" workbookViewId="0">
      <selection activeCell="C17" sqref="C17"/>
    </sheetView>
  </sheetViews>
  <sheetFormatPr defaultRowHeight="15" x14ac:dyDescent="0.25"/>
  <cols>
    <col min="2" max="7" width="14.140625" customWidth="1"/>
    <col min="8" max="8" width="21.42578125" customWidth="1"/>
    <col min="9" max="9" width="11.140625" customWidth="1"/>
    <col min="10" max="12" width="11.5703125" hidden="1" customWidth="1"/>
    <col min="13" max="13" width="9.7109375" hidden="1" customWidth="1"/>
    <col min="14" max="14" width="0" hidden="1" customWidth="1"/>
    <col min="15" max="15" width="20.28515625" hidden="1" customWidth="1"/>
    <col min="16" max="16" width="19.85546875" hidden="1" customWidth="1"/>
    <col min="17" max="17" width="20.42578125" hidden="1" customWidth="1"/>
  </cols>
  <sheetData>
    <row r="1" spans="2:17" ht="15.75" thickBot="1" x14ac:dyDescent="0.3">
      <c r="B1" s="28" t="s">
        <v>27</v>
      </c>
    </row>
    <row r="2" spans="2:17" ht="16.149999999999999" customHeight="1" thickBot="1" x14ac:dyDescent="0.3">
      <c r="B2" s="466" t="s">
        <v>58</v>
      </c>
      <c r="C2" s="467"/>
      <c r="D2" s="467"/>
      <c r="E2" s="467"/>
      <c r="F2" s="467"/>
      <c r="G2" s="467"/>
      <c r="H2" s="468"/>
    </row>
    <row r="4" spans="2:17" ht="15.75" x14ac:dyDescent="0.25">
      <c r="B4" s="494" t="s">
        <v>16</v>
      </c>
      <c r="C4" s="494"/>
      <c r="D4" s="494"/>
      <c r="E4" s="494"/>
      <c r="F4" s="494"/>
      <c r="G4" s="494"/>
      <c r="H4" s="494"/>
    </row>
    <row r="5" spans="2:17" x14ac:dyDescent="0.25">
      <c r="B5" s="495" t="s">
        <v>17</v>
      </c>
      <c r="C5" s="495" t="s">
        <v>18</v>
      </c>
      <c r="D5" s="495" t="s">
        <v>19</v>
      </c>
      <c r="E5" s="495" t="s">
        <v>59</v>
      </c>
      <c r="F5" s="495" t="s">
        <v>60</v>
      </c>
      <c r="G5" s="495" t="s">
        <v>21</v>
      </c>
      <c r="H5" s="495" t="s">
        <v>11</v>
      </c>
    </row>
    <row r="6" spans="2:17" ht="45" x14ac:dyDescent="0.25">
      <c r="B6" s="495"/>
      <c r="C6" s="495"/>
      <c r="D6" s="496"/>
      <c r="E6" s="495"/>
      <c r="F6" s="495"/>
      <c r="G6" s="495"/>
      <c r="H6" s="495"/>
      <c r="J6" s="65" t="s">
        <v>63</v>
      </c>
      <c r="L6" s="176" t="s">
        <v>257</v>
      </c>
      <c r="M6" s="176" t="s">
        <v>258</v>
      </c>
      <c r="O6" s="65" t="s">
        <v>354</v>
      </c>
      <c r="P6" s="65" t="s">
        <v>257</v>
      </c>
      <c r="Q6" s="65" t="s">
        <v>258</v>
      </c>
    </row>
    <row r="7" spans="2:17" ht="24" x14ac:dyDescent="0.25">
      <c r="B7" s="59" t="s">
        <v>61</v>
      </c>
      <c r="C7" s="59" t="s">
        <v>23</v>
      </c>
      <c r="D7" s="60">
        <v>123456789</v>
      </c>
      <c r="E7" s="60" t="s">
        <v>62</v>
      </c>
      <c r="F7" s="61">
        <v>1</v>
      </c>
      <c r="G7" s="59">
        <v>1</v>
      </c>
      <c r="H7" s="240">
        <f>IF(OR(E7="",F7=""),"",IF(AND(E7=$J$7,F7&lt;=1), G7*275,IF(AND(E7=$J$8,F7&lt;=1.6), G7*350,"DNQ")))</f>
        <v>275</v>
      </c>
      <c r="J7" s="66" t="s">
        <v>62</v>
      </c>
      <c r="K7" s="125"/>
      <c r="L7" s="41">
        <f>IFERROR(IF(H7="DNQ",0,$G7*INDEX($O$7:$Q$9,MATCH($E7,$O$7:$O$9,0),2)),"")</f>
        <v>0.06</v>
      </c>
      <c r="M7" s="38">
        <f>IFERROR(IF(I7="DNQ",0,$G7*INDEX($O$7:$Q$9,MATCH($E7,$O$7:$O$9,0),3)),"")</f>
        <v>181.25</v>
      </c>
      <c r="O7" s="66" t="s">
        <v>353</v>
      </c>
      <c r="P7" s="66">
        <v>0.65300000000000002</v>
      </c>
      <c r="Q7" s="66">
        <v>1959.99</v>
      </c>
    </row>
    <row r="8" spans="2:17" x14ac:dyDescent="0.25">
      <c r="B8" s="62"/>
      <c r="C8" s="62"/>
      <c r="D8" s="62"/>
      <c r="E8" s="62"/>
      <c r="F8" s="63"/>
      <c r="G8" s="62"/>
      <c r="H8" s="241" t="str">
        <f>IF(OR(E8="",F8=""),"",IF(AND(E8=$J$7,F8&lt;=1),G8*275,IF(AND(E8=$J$8,F8&lt;=1),G8*500,IF(AND(E8=$J$9,F8&lt;=1.4),G8*500,"DNQ"))))</f>
        <v/>
      </c>
      <c r="J8" s="66" t="s">
        <v>352</v>
      </c>
      <c r="K8" s="125"/>
      <c r="L8" s="212" t="str">
        <f t="shared" ref="L8:L12" si="0">IFERROR(IF(H8="DNQ",0,$G8*INDEX($O$7:$Q$9,MATCH($E8,$O$7:$O$9,0),2)),"")</f>
        <v/>
      </c>
      <c r="M8" s="215" t="str">
        <f t="shared" ref="M8:M12" si="1">IFERROR(IF(I8="DNQ",0,$G8*INDEX($O$7:$Q$9,MATCH($E8,$O$7:$O$9,0),3)),"")</f>
        <v/>
      </c>
      <c r="O8" s="66" t="s">
        <v>352</v>
      </c>
      <c r="P8" s="66">
        <v>0.95899999999999996</v>
      </c>
      <c r="Q8" s="66">
        <v>2877.39</v>
      </c>
    </row>
    <row r="9" spans="2:17" x14ac:dyDescent="0.25">
      <c r="B9" s="62"/>
      <c r="C9" s="62"/>
      <c r="D9" s="62"/>
      <c r="E9" s="62"/>
      <c r="F9" s="63"/>
      <c r="G9" s="64"/>
      <c r="H9" s="241" t="str">
        <f t="shared" ref="H9:H12" si="2">IF(OR(E9="",F9=""),"",IF(AND(E9=$J$7,F9&lt;=1),G9*275,IF(AND(E9=$J$8,F9&lt;=1),G9*500,IF(AND(E9=$J$9,F9&lt;=1.4),G9*500,"DNQ"))))</f>
        <v/>
      </c>
      <c r="J9" s="66" t="s">
        <v>353</v>
      </c>
      <c r="K9" s="125"/>
      <c r="L9" s="212" t="str">
        <f t="shared" si="0"/>
        <v/>
      </c>
      <c r="M9" s="215" t="str">
        <f t="shared" si="1"/>
        <v/>
      </c>
      <c r="O9" s="66" t="s">
        <v>62</v>
      </c>
      <c r="P9" s="66">
        <v>0.06</v>
      </c>
      <c r="Q9" s="66">
        <v>181.25</v>
      </c>
    </row>
    <row r="10" spans="2:17" x14ac:dyDescent="0.25">
      <c r="B10" s="62"/>
      <c r="C10" s="62"/>
      <c r="D10" s="62"/>
      <c r="E10" s="62"/>
      <c r="F10" s="63"/>
      <c r="G10" s="64"/>
      <c r="H10" s="241" t="str">
        <f t="shared" si="2"/>
        <v/>
      </c>
      <c r="L10" s="212" t="str">
        <f t="shared" si="0"/>
        <v/>
      </c>
      <c r="M10" s="215" t="str">
        <f t="shared" si="1"/>
        <v/>
      </c>
    </row>
    <row r="11" spans="2:17" x14ac:dyDescent="0.25">
      <c r="B11" s="62"/>
      <c r="C11" s="62"/>
      <c r="D11" s="62"/>
      <c r="E11" s="62"/>
      <c r="F11" s="63"/>
      <c r="G11" s="64"/>
      <c r="H11" s="241" t="str">
        <f t="shared" si="2"/>
        <v/>
      </c>
      <c r="L11" s="212" t="str">
        <f t="shared" si="0"/>
        <v/>
      </c>
      <c r="M11" s="215" t="str">
        <f t="shared" si="1"/>
        <v/>
      </c>
    </row>
    <row r="12" spans="2:17" x14ac:dyDescent="0.25">
      <c r="B12" s="62"/>
      <c r="C12" s="62"/>
      <c r="D12" s="62"/>
      <c r="E12" s="62"/>
      <c r="F12" s="63"/>
      <c r="G12" s="64"/>
      <c r="H12" s="241" t="str">
        <f t="shared" si="2"/>
        <v/>
      </c>
      <c r="L12" s="212" t="str">
        <f t="shared" si="0"/>
        <v/>
      </c>
      <c r="M12" s="215" t="str">
        <f t="shared" si="1"/>
        <v/>
      </c>
    </row>
    <row r="13" spans="2:17" ht="15.75" x14ac:dyDescent="0.25">
      <c r="B13" s="493" t="s">
        <v>26</v>
      </c>
      <c r="C13" s="493"/>
      <c r="D13" s="493"/>
      <c r="E13" s="493"/>
      <c r="F13" s="493"/>
      <c r="G13" s="493"/>
      <c r="H13" s="237">
        <f>SUM(H8:H12)</f>
        <v>0</v>
      </c>
    </row>
    <row r="16" spans="2:17" ht="38.25" x14ac:dyDescent="0.25">
      <c r="B16" s="196" t="s">
        <v>260</v>
      </c>
      <c r="C16" s="23" t="s">
        <v>402</v>
      </c>
      <c r="D16" s="23" t="s">
        <v>258</v>
      </c>
      <c r="E16" s="196" t="s">
        <v>369</v>
      </c>
      <c r="G16" s="211" t="s">
        <v>342</v>
      </c>
      <c r="H16" s="211" t="s">
        <v>401</v>
      </c>
    </row>
    <row r="17" spans="2:8" x14ac:dyDescent="0.25">
      <c r="B17" s="197"/>
      <c r="C17" s="230">
        <f>SUM(L8:L12)</f>
        <v>0</v>
      </c>
      <c r="D17" s="231">
        <f>SUM(M8:M12)</f>
        <v>0</v>
      </c>
      <c r="E17" s="232" t="str">
        <f>IFERROR(C18+D18,"Select Rate and Island from Summary Page")</f>
        <v>Select Rate and Island from Summary Page</v>
      </c>
      <c r="F17" s="233"/>
      <c r="G17" s="234" t="str">
        <f>IFERROR(ROUND(B17/E17,1),"")</f>
        <v/>
      </c>
      <c r="H17" s="235" t="str">
        <f>IFERROR(ROUND((B17-H13)/E17,1),"")</f>
        <v/>
      </c>
    </row>
    <row r="18" spans="2:8" hidden="1" x14ac:dyDescent="0.25">
      <c r="C18" s="210" t="e">
        <f>C17*Summary!F5*12</f>
        <v>#VALUE!</v>
      </c>
      <c r="D18" s="210" t="e">
        <f>D17*Summary!G5</f>
        <v>#VALUE!</v>
      </c>
    </row>
  </sheetData>
  <sheetProtection algorithmName="SHA-512" hashValue="Gkvo6QDVvrqmJ9RXbXdzrSP9TRsV+CLO/tNItenHMr+PwR9EeezM0UOlG4OBLrzVp+0G4U0JccI2qTDrO5/8qw==" saltValue="wBrFKDseEvmJ0E7NmUHxhQ==" spinCount="100000" sheet="1" objects="1" scenarios="1"/>
  <mergeCells count="10">
    <mergeCell ref="B13:G13"/>
    <mergeCell ref="B2:H2"/>
    <mergeCell ref="B4:H4"/>
    <mergeCell ref="B5:B6"/>
    <mergeCell ref="C5:C6"/>
    <mergeCell ref="D5:D6"/>
    <mergeCell ref="E5:E6"/>
    <mergeCell ref="F5:F6"/>
    <mergeCell ref="G5:G6"/>
    <mergeCell ref="H5:H6"/>
  </mergeCells>
  <conditionalFormatting sqref="G16:H17">
    <cfRule type="expression" dxfId="8" priority="1">
      <formula>ISBLANK($B$17)</formula>
    </cfRule>
  </conditionalFormatting>
  <dataValidations count="1">
    <dataValidation type="list" allowBlank="1" showInputMessage="1" showErrorMessage="1" sqref="E7:E12" xr:uid="{B80CCAA0-01CE-4A3F-B34A-D7683AC33603}">
      <formula1>$J$7:$J$9</formula1>
    </dataValidation>
  </dataValidations>
  <hyperlinks>
    <hyperlink ref="B1" location="Summary!A1" display="Back to Summary Page"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25"/>
  <sheetViews>
    <sheetView showGridLines="0" workbookViewId="0">
      <selection activeCell="D21" sqref="D21"/>
    </sheetView>
  </sheetViews>
  <sheetFormatPr defaultRowHeight="15" x14ac:dyDescent="0.25"/>
  <cols>
    <col min="2" max="3" width="17.7109375" customWidth="1"/>
    <col min="4" max="4" width="22.5703125" customWidth="1"/>
    <col min="5" max="5" width="20.7109375" customWidth="1"/>
    <col min="6" max="6" width="15.42578125" customWidth="1"/>
    <col min="7" max="7" width="27.42578125" customWidth="1"/>
    <col min="8" max="8" width="13.28515625" bestFit="1" customWidth="1"/>
    <col min="9" max="9" width="19.42578125" customWidth="1"/>
    <col min="11" max="11" width="20.28515625" hidden="1" customWidth="1"/>
    <col min="12" max="15" width="8.85546875" hidden="1" customWidth="1"/>
    <col min="16" max="16" width="5.42578125" hidden="1" customWidth="1"/>
    <col min="17" max="17" width="17.42578125" hidden="1" customWidth="1"/>
    <col min="18" max="18" width="22.28515625" hidden="1" customWidth="1"/>
    <col min="19" max="19" width="9" hidden="1" customWidth="1"/>
    <col min="20" max="20" width="35.7109375" hidden="1" customWidth="1"/>
    <col min="21" max="21" width="50" hidden="1" customWidth="1"/>
    <col min="22" max="22" width="19.85546875" hidden="1" customWidth="1"/>
    <col min="23" max="23" width="20.42578125" hidden="1" customWidth="1"/>
    <col min="24" max="24" width="20.42578125" bestFit="1" customWidth="1"/>
  </cols>
  <sheetData>
    <row r="1" spans="2:23" ht="15.75" thickBot="1" x14ac:dyDescent="0.3">
      <c r="B1" s="28" t="s">
        <v>27</v>
      </c>
    </row>
    <row r="2" spans="2:23" ht="16.149999999999999" customHeight="1" thickBot="1" x14ac:dyDescent="0.3">
      <c r="B2" s="466" t="s">
        <v>105</v>
      </c>
      <c r="C2" s="467"/>
      <c r="D2" s="467"/>
      <c r="E2" s="467"/>
      <c r="F2" s="467"/>
      <c r="G2" s="467"/>
      <c r="H2" s="467"/>
      <c r="I2" s="468"/>
    </row>
    <row r="4" spans="2:23" ht="15" customHeight="1" x14ac:dyDescent="0.25">
      <c r="B4" s="500" t="s">
        <v>16</v>
      </c>
      <c r="C4" s="501"/>
      <c r="D4" s="501"/>
      <c r="E4" s="501"/>
      <c r="F4" s="501"/>
      <c r="G4" s="501"/>
      <c r="H4" s="501"/>
      <c r="I4" s="502"/>
      <c r="J4" s="84"/>
      <c r="K4" s="84"/>
      <c r="L4" s="84"/>
      <c r="M4" s="84"/>
      <c r="N4" s="84"/>
      <c r="O4" s="84"/>
      <c r="P4" s="84"/>
      <c r="Q4" s="84"/>
      <c r="R4" s="84"/>
      <c r="S4" s="84"/>
      <c r="T4" s="84"/>
    </row>
    <row r="5" spans="2:23" ht="15" customHeight="1" x14ac:dyDescent="0.25">
      <c r="B5" s="294" t="s">
        <v>17</v>
      </c>
      <c r="C5" s="294" t="s">
        <v>18</v>
      </c>
      <c r="D5" s="503" t="s">
        <v>43</v>
      </c>
      <c r="E5" s="505" t="s">
        <v>106</v>
      </c>
      <c r="F5" s="505" t="s">
        <v>107</v>
      </c>
      <c r="G5" s="505" t="s">
        <v>108</v>
      </c>
      <c r="H5" s="505" t="s">
        <v>21</v>
      </c>
      <c r="I5" s="294" t="s">
        <v>11</v>
      </c>
      <c r="J5" s="84"/>
      <c r="K5" s="84"/>
      <c r="L5" s="84"/>
      <c r="M5" s="84"/>
      <c r="N5" s="84"/>
      <c r="O5" s="84"/>
      <c r="P5" s="84"/>
      <c r="Q5" s="84"/>
      <c r="R5" s="84"/>
      <c r="S5" s="84"/>
      <c r="T5" s="84"/>
    </row>
    <row r="6" spans="2:23" ht="15" customHeight="1" x14ac:dyDescent="0.25">
      <c r="B6" s="294"/>
      <c r="C6" s="294"/>
      <c r="D6" s="504"/>
      <c r="E6" s="506"/>
      <c r="F6" s="506"/>
      <c r="G6" s="506"/>
      <c r="H6" s="506"/>
      <c r="I6" s="294"/>
      <c r="J6" s="84"/>
      <c r="K6" s="84"/>
      <c r="L6" s="84" t="s">
        <v>109</v>
      </c>
      <c r="M6" s="84" t="s">
        <v>110</v>
      </c>
      <c r="N6" s="84" t="s">
        <v>111</v>
      </c>
      <c r="O6" s="84"/>
      <c r="P6" s="84"/>
      <c r="Q6" s="84" t="s">
        <v>110</v>
      </c>
      <c r="R6" s="84" t="s">
        <v>112</v>
      </c>
      <c r="S6" s="84" t="s">
        <v>113</v>
      </c>
      <c r="T6" s="84"/>
      <c r="U6" s="176" t="s">
        <v>257</v>
      </c>
      <c r="V6" s="176" t="s">
        <v>258</v>
      </c>
    </row>
    <row r="7" spans="2:23" ht="15.75" customHeight="1" x14ac:dyDescent="0.25">
      <c r="B7" s="38" t="s">
        <v>114</v>
      </c>
      <c r="C7" s="38" t="s">
        <v>115</v>
      </c>
      <c r="D7" s="39" t="s">
        <v>75</v>
      </c>
      <c r="E7" s="40" t="s">
        <v>116</v>
      </c>
      <c r="F7" s="41">
        <v>0.19</v>
      </c>
      <c r="G7" s="41">
        <v>0.74</v>
      </c>
      <c r="H7" s="41">
        <v>1</v>
      </c>
      <c r="I7" s="242">
        <f>IFERROR(IF(S7,H7*VLOOKUP(D7,Summary!$B$84:$G$92,5,0), "DNQ")," ")</f>
        <v>200</v>
      </c>
      <c r="J7" s="84"/>
      <c r="K7" s="84" t="str">
        <f>IF(E7="Low", VLOOKUP(D7,Summary!$B$72:$E$78, 2,0), VLOOKUP(D7,Summary!$B$84:$E$92, 2, 0))</f>
        <v>&lt;= 0.25 kW</v>
      </c>
      <c r="L7" s="84" t="str">
        <f>TRIM(RIGHT(SUBSTITUTE(TRIM(LEFT(K7,SEARCH("kW",K7)-1))," ",REPT(" ",100)),100))</f>
        <v>0.25</v>
      </c>
      <c r="M7" s="84">
        <f>_xlfn.NUMBERVALUE(L7)</f>
        <v>0.25</v>
      </c>
      <c r="N7" s="84" t="b">
        <f t="shared" ref="N7:N12" si="0">IF(ISBLANK(F7), FALSE, F7&lt;=M7)</f>
        <v>1</v>
      </c>
      <c r="O7" s="84" t="str">
        <f>IF(E7="Low", VLOOKUP(D7,Summary!$B$72:$E$78, 4,0), VLOOKUP(D7,Summary!$B$84:$E$92, 4, 0))</f>
        <v>&lt;= 1.19 GPR</v>
      </c>
      <c r="P7" s="84" t="str">
        <f>TRIM(RIGHT(SUBSTITUTE(TRIM(LEFT(O7,SEARCH("GPR",O7)-1))," ",REPT(" ",100)),100))</f>
        <v>1.19</v>
      </c>
      <c r="Q7" s="84">
        <f>_xlfn.NUMBERVALUE(P7)</f>
        <v>1.19</v>
      </c>
      <c r="R7" s="84" t="b">
        <f>IF(ISBLANK(G7), TRUE, IF(G7&lt;=Q7, TRUE, FALSE))</f>
        <v>1</v>
      </c>
      <c r="S7" s="84" t="b">
        <f>AND(R7,N7)</f>
        <v>1</v>
      </c>
      <c r="T7" s="218" t="str">
        <f>IFERROR(E7&amp;" Temperature "&amp;D7,"")</f>
        <v>Low Temperature Under Counter</v>
      </c>
      <c r="U7" s="41">
        <f>IFERROR(IF(I7="DNQ",0,$H7*INDEX($U$17:$W$25,MATCH($T7,$U$17:$U$25,0),2)),"")</f>
        <v>0.34799999999999998</v>
      </c>
      <c r="V7" s="41">
        <f>IFERROR(IF(I7="DNQ",0,$H7*INDEX($U$17:$W$25,MATCH($T7,$U$17:$U$25,0),3)),"")</f>
        <v>2057.6999999999998</v>
      </c>
    </row>
    <row r="8" spans="2:23" ht="15.75" customHeight="1" x14ac:dyDescent="0.25">
      <c r="B8" s="42"/>
      <c r="C8" s="42"/>
      <c r="D8" s="43"/>
      <c r="E8" s="45"/>
      <c r="F8" s="42"/>
      <c r="G8" s="46"/>
      <c r="H8" s="46"/>
      <c r="I8" s="242" t="str">
        <f>IFERROR(IF(S8,H8*VLOOKUP(D8,Summary!$B$84:$G$92,5,0), "DNQ")," ")</f>
        <v>DNQ</v>
      </c>
      <c r="J8" s="84"/>
      <c r="K8" s="84" t="e">
        <f>IF(E8="Low", VLOOKUP(D8,Summary!$B$72:$E$78, 2,0), VLOOKUP(D8,Summary!$B$84:$E$92, 2, 0))</f>
        <v>#N/A</v>
      </c>
      <c r="L8" s="84" t="e">
        <f t="shared" ref="L8:L12" si="1">TRIM(RIGHT(SUBSTITUTE(TRIM(LEFT(K8,SEARCH("kW",K8)-1))," ",REPT(" ",100)),100))</f>
        <v>#N/A</v>
      </c>
      <c r="M8" s="84" t="e">
        <f t="shared" ref="M8:M12" si="2">_xlfn.NUMBERVALUE(L8)</f>
        <v>#N/A</v>
      </c>
      <c r="N8" s="84" t="b">
        <f t="shared" si="0"/>
        <v>0</v>
      </c>
      <c r="O8" s="84" t="e">
        <f>IF(E8="Low", VLOOKUP(D8,Summary!$B$72:$E$78, 4,0), VLOOKUP(D8,Summary!$B$84:$E$92, 4, 0))</f>
        <v>#N/A</v>
      </c>
      <c r="P8" s="84" t="e">
        <f t="shared" ref="P8:P12" si="3">TRIM(RIGHT(SUBSTITUTE(TRIM(LEFT(O8,SEARCH("GPR",O8)-1))," ",REPT(" ",100)),100))</f>
        <v>#N/A</v>
      </c>
      <c r="Q8" s="84" t="e">
        <f t="shared" ref="Q8:Q12" si="4">_xlfn.NUMBERVALUE(P8)</f>
        <v>#N/A</v>
      </c>
      <c r="R8" s="84" t="b">
        <f t="shared" ref="R8:R12" si="5">IF(ISBLANK(G8), TRUE, IF(G8&lt;=Q8, TRUE, FALSE))</f>
        <v>1</v>
      </c>
      <c r="S8" s="84" t="b">
        <f t="shared" ref="S8:S12" si="6">AND(R8,N8)</f>
        <v>0</v>
      </c>
      <c r="T8" s="218" t="str">
        <f t="shared" ref="T8:T12" si="7">IFERROR(E8&amp;" Temperature "&amp;D8,"")</f>
        <v xml:space="preserve"> Temperature </v>
      </c>
      <c r="U8" s="212">
        <f t="shared" ref="U8:U12" si="8">IFERROR(IF(I8="DNQ",0,$H8*INDEX($U$17:$W$25,MATCH($T8,$U$17:$U$25,0),2)),"")</f>
        <v>0</v>
      </c>
      <c r="V8" s="212">
        <f t="shared" ref="V8:V12" si="9">IFERROR(IF(I8="DNQ",0,$H8*INDEX($U$17:$W$25,MATCH($T8,$U$17:$U$25,0),3)),"")</f>
        <v>0</v>
      </c>
    </row>
    <row r="9" spans="2:23" ht="15.75" customHeight="1" x14ac:dyDescent="0.25">
      <c r="B9" s="42"/>
      <c r="C9" s="42"/>
      <c r="D9" s="43"/>
      <c r="E9" s="45"/>
      <c r="F9" s="42"/>
      <c r="G9" s="46"/>
      <c r="H9" s="46"/>
      <c r="I9" s="242" t="str">
        <f>IFERROR(IF(S9,H9*VLOOKUP(D9,Summary!$B$84:$G$92,5,0), "DNQ")," ")</f>
        <v>DNQ</v>
      </c>
      <c r="J9" s="84"/>
      <c r="K9" s="84" t="e">
        <f>IF(E9="Low", VLOOKUP(D9,Summary!$B$72:$E$78, 2,0), VLOOKUP(D9,Summary!$B$84:$E$92, 2, 0))</f>
        <v>#N/A</v>
      </c>
      <c r="L9" s="84" t="e">
        <f t="shared" si="1"/>
        <v>#N/A</v>
      </c>
      <c r="M9" s="84" t="e">
        <f t="shared" si="2"/>
        <v>#N/A</v>
      </c>
      <c r="N9" s="84" t="b">
        <f t="shared" si="0"/>
        <v>0</v>
      </c>
      <c r="O9" s="84" t="e">
        <f>IF(E9="Low", VLOOKUP(D9,Summary!$B$72:$E$78, 4,0), VLOOKUP(D9,Summary!$B$84:$E$92, 4, 0))</f>
        <v>#N/A</v>
      </c>
      <c r="P9" s="84" t="e">
        <f t="shared" si="3"/>
        <v>#N/A</v>
      </c>
      <c r="Q9" s="84" t="e">
        <f t="shared" si="4"/>
        <v>#N/A</v>
      </c>
      <c r="R9" s="84" t="b">
        <f t="shared" si="5"/>
        <v>1</v>
      </c>
      <c r="S9" s="84" t="b">
        <f t="shared" si="6"/>
        <v>0</v>
      </c>
      <c r="T9" s="218" t="str">
        <f t="shared" si="7"/>
        <v xml:space="preserve"> Temperature </v>
      </c>
      <c r="U9" s="212">
        <f t="shared" si="8"/>
        <v>0</v>
      </c>
      <c r="V9" s="212">
        <f t="shared" si="9"/>
        <v>0</v>
      </c>
    </row>
    <row r="10" spans="2:23" ht="15.75" customHeight="1" x14ac:dyDescent="0.25">
      <c r="B10" s="42"/>
      <c r="C10" s="42"/>
      <c r="D10" s="43"/>
      <c r="E10" s="45"/>
      <c r="F10" s="42"/>
      <c r="G10" s="46"/>
      <c r="H10" s="46"/>
      <c r="I10" s="242" t="str">
        <f>IFERROR(IF(S10,H10*VLOOKUP(D10,Summary!$B$84:$G$92,5,0), "DNQ")," ")</f>
        <v>DNQ</v>
      </c>
      <c r="J10" s="84"/>
      <c r="K10" s="84" t="e">
        <f>IF(E10="Low", VLOOKUP(D10,Summary!$B$72:$E$78, 2,0), VLOOKUP(D10,Summary!$B$84:$E$92, 2, 0))</f>
        <v>#N/A</v>
      </c>
      <c r="L10" s="84" t="e">
        <f t="shared" si="1"/>
        <v>#N/A</v>
      </c>
      <c r="M10" s="84" t="e">
        <f t="shared" si="2"/>
        <v>#N/A</v>
      </c>
      <c r="N10" s="84" t="b">
        <f t="shared" si="0"/>
        <v>0</v>
      </c>
      <c r="O10" s="84" t="e">
        <f>IF(E10="Low", VLOOKUP(D10,Summary!$B$72:$E$78, 4,0), VLOOKUP(D10,Summary!$B$84:$E$92, 4, 0))</f>
        <v>#N/A</v>
      </c>
      <c r="P10" s="84" t="e">
        <f t="shared" si="3"/>
        <v>#N/A</v>
      </c>
      <c r="Q10" s="84" t="e">
        <f t="shared" si="4"/>
        <v>#N/A</v>
      </c>
      <c r="R10" s="84" t="b">
        <f t="shared" si="5"/>
        <v>1</v>
      </c>
      <c r="S10" s="84" t="b">
        <f t="shared" si="6"/>
        <v>0</v>
      </c>
      <c r="T10" s="218" t="str">
        <f t="shared" si="7"/>
        <v xml:space="preserve"> Temperature </v>
      </c>
      <c r="U10" s="212">
        <f t="shared" si="8"/>
        <v>0</v>
      </c>
      <c r="V10" s="212">
        <f t="shared" si="9"/>
        <v>0</v>
      </c>
    </row>
    <row r="11" spans="2:23" ht="15.75" customHeight="1" x14ac:dyDescent="0.25">
      <c r="B11" s="42"/>
      <c r="C11" s="42"/>
      <c r="D11" s="43"/>
      <c r="E11" s="45"/>
      <c r="F11" s="42"/>
      <c r="G11" s="46"/>
      <c r="H11" s="46"/>
      <c r="I11" s="242" t="str">
        <f>IFERROR(IF(S11,H11*VLOOKUP(D11,Summary!$B$84:$G$92,5,0), "DNQ")," ")</f>
        <v>DNQ</v>
      </c>
      <c r="J11" s="84"/>
      <c r="K11" s="84" t="e">
        <f>IF(E11="Low", VLOOKUP(D11,Summary!$B$72:$E$78, 2,0), VLOOKUP(D11,Summary!$B$84:$E$92, 2, 0))</f>
        <v>#N/A</v>
      </c>
      <c r="L11" s="84" t="e">
        <f t="shared" si="1"/>
        <v>#N/A</v>
      </c>
      <c r="M11" s="84" t="e">
        <f t="shared" si="2"/>
        <v>#N/A</v>
      </c>
      <c r="N11" s="84" t="b">
        <f t="shared" si="0"/>
        <v>0</v>
      </c>
      <c r="O11" s="84" t="e">
        <f>IF(E11="Low", VLOOKUP(D11,Summary!$B$72:$E$78, 4,0), VLOOKUP(D11,Summary!$B$84:$E$92, 4, 0))</f>
        <v>#N/A</v>
      </c>
      <c r="P11" s="84" t="e">
        <f t="shared" si="3"/>
        <v>#N/A</v>
      </c>
      <c r="Q11" s="84" t="e">
        <f t="shared" si="4"/>
        <v>#N/A</v>
      </c>
      <c r="R11" s="84" t="b">
        <f t="shared" si="5"/>
        <v>1</v>
      </c>
      <c r="S11" s="84" t="b">
        <f t="shared" si="6"/>
        <v>0</v>
      </c>
      <c r="T11" s="218" t="str">
        <f t="shared" si="7"/>
        <v xml:space="preserve"> Temperature </v>
      </c>
      <c r="U11" s="212">
        <f t="shared" si="8"/>
        <v>0</v>
      </c>
      <c r="V11" s="212">
        <f t="shared" si="9"/>
        <v>0</v>
      </c>
    </row>
    <row r="12" spans="2:23" ht="15.75" customHeight="1" x14ac:dyDescent="0.25">
      <c r="B12" s="42"/>
      <c r="C12" s="42"/>
      <c r="D12" s="43"/>
      <c r="E12" s="45"/>
      <c r="F12" s="42"/>
      <c r="G12" s="46"/>
      <c r="H12" s="46"/>
      <c r="I12" s="242" t="str">
        <f>IFERROR(IF(S12,H12*VLOOKUP(D12,Summary!$B$84:$G$92,5,0), "DNQ")," ")</f>
        <v>DNQ</v>
      </c>
      <c r="J12" s="84"/>
      <c r="K12" s="84" t="e">
        <f>IF(E12="Low", VLOOKUP(D12,Summary!$B$72:$E$78, 2,0), VLOOKUP(D12,Summary!$B$84:$E$92, 2, 0))</f>
        <v>#N/A</v>
      </c>
      <c r="L12" s="84" t="e">
        <f t="shared" si="1"/>
        <v>#N/A</v>
      </c>
      <c r="M12" s="84" t="e">
        <f t="shared" si="2"/>
        <v>#N/A</v>
      </c>
      <c r="N12" s="84" t="b">
        <f t="shared" si="0"/>
        <v>0</v>
      </c>
      <c r="O12" s="84" t="e">
        <f>IF(E12="Low", VLOOKUP(D12,Summary!$B$72:$E$78, 4,0), VLOOKUP(D12,Summary!$B$84:$E$92, 4, 0))</f>
        <v>#N/A</v>
      </c>
      <c r="P12" s="84" t="e">
        <f t="shared" si="3"/>
        <v>#N/A</v>
      </c>
      <c r="Q12" s="84" t="e">
        <f t="shared" si="4"/>
        <v>#N/A</v>
      </c>
      <c r="R12" s="84" t="b">
        <f t="shared" si="5"/>
        <v>1</v>
      </c>
      <c r="S12" s="84" t="b">
        <f t="shared" si="6"/>
        <v>0</v>
      </c>
      <c r="T12" s="218" t="str">
        <f t="shared" si="7"/>
        <v xml:space="preserve"> Temperature </v>
      </c>
      <c r="U12" s="212">
        <f t="shared" si="8"/>
        <v>0</v>
      </c>
      <c r="V12" s="212">
        <f t="shared" si="9"/>
        <v>0</v>
      </c>
    </row>
    <row r="13" spans="2:23" ht="15.75" customHeight="1" x14ac:dyDescent="0.25">
      <c r="B13" s="497" t="s">
        <v>26</v>
      </c>
      <c r="C13" s="498"/>
      <c r="D13" s="498"/>
      <c r="E13" s="498"/>
      <c r="F13" s="498"/>
      <c r="G13" s="498"/>
      <c r="H13" s="499"/>
      <c r="I13" s="237">
        <f>SUM(I8:I12)</f>
        <v>0</v>
      </c>
      <c r="J13" s="84"/>
      <c r="K13" s="84"/>
      <c r="L13" s="84"/>
      <c r="M13" s="84"/>
      <c r="N13" s="84"/>
      <c r="O13" s="84"/>
      <c r="P13" s="84"/>
      <c r="Q13" s="84"/>
      <c r="R13" s="84"/>
      <c r="S13" s="84"/>
      <c r="T13" s="84"/>
    </row>
    <row r="14" spans="2:23" ht="15.75" customHeight="1" x14ac:dyDescent="0.25"/>
    <row r="16" spans="2:23" ht="25.5" x14ac:dyDescent="0.25">
      <c r="B16" s="196" t="s">
        <v>260</v>
      </c>
      <c r="C16" s="23" t="s">
        <v>402</v>
      </c>
      <c r="D16" s="23" t="s">
        <v>258</v>
      </c>
      <c r="E16" s="196" t="s">
        <v>369</v>
      </c>
      <c r="H16" s="211" t="s">
        <v>342</v>
      </c>
      <c r="I16" s="211" t="s">
        <v>401</v>
      </c>
      <c r="K16" s="86" t="s">
        <v>43</v>
      </c>
      <c r="L16" s="87"/>
      <c r="M16" s="84"/>
      <c r="U16" s="86" t="s">
        <v>343</v>
      </c>
      <c r="V16" s="86" t="s">
        <v>257</v>
      </c>
      <c r="W16" s="86" t="s">
        <v>258</v>
      </c>
    </row>
    <row r="17" spans="2:23" ht="24" x14ac:dyDescent="0.25">
      <c r="B17" s="197"/>
      <c r="C17" s="230">
        <f>SUM(U8:U12)</f>
        <v>0</v>
      </c>
      <c r="D17" s="231">
        <f>SUM(V8:V12)</f>
        <v>0</v>
      </c>
      <c r="E17" s="232" t="str">
        <f>IFERROR(C18+D18,"Select Rate and Island from Summary Page")</f>
        <v>Select Rate and Island from Summary Page</v>
      </c>
      <c r="F17" s="233"/>
      <c r="G17" s="233"/>
      <c r="H17" s="234" t="str">
        <f>IFERROR(ROUND(B17/E17,1),"")</f>
        <v/>
      </c>
      <c r="I17" s="235" t="str">
        <f>IFERROR(ROUND((B17-I13)/E17,1),"")</f>
        <v/>
      </c>
      <c r="K17" s="88" t="s">
        <v>75</v>
      </c>
      <c r="L17" s="87"/>
      <c r="M17" s="84"/>
      <c r="U17" s="216" t="s">
        <v>355</v>
      </c>
      <c r="V17" s="217">
        <v>0.34799999999999998</v>
      </c>
      <c r="W17" s="217">
        <v>2057.6999999999998</v>
      </c>
    </row>
    <row r="18" spans="2:23" ht="14.45" hidden="1" customHeight="1" x14ac:dyDescent="0.25">
      <c r="C18" s="210" t="e">
        <f>C17*Summary!F5*12</f>
        <v>#VALUE!</v>
      </c>
      <c r="D18" s="210" t="e">
        <f>D17*Summary!G5</f>
        <v>#VALUE!</v>
      </c>
      <c r="K18" s="88" t="s">
        <v>79</v>
      </c>
      <c r="L18" s="87"/>
      <c r="M18" s="84"/>
      <c r="U18" s="216" t="s">
        <v>356</v>
      </c>
      <c r="V18" s="217">
        <v>1.0620000000000001</v>
      </c>
      <c r="W18" s="217">
        <v>6285.66</v>
      </c>
    </row>
    <row r="19" spans="2:23" ht="14.45" customHeight="1" x14ac:dyDescent="0.25">
      <c r="K19" s="88" t="s">
        <v>364</v>
      </c>
      <c r="L19" s="87"/>
      <c r="M19" s="84"/>
      <c r="U19" s="216" t="s">
        <v>357</v>
      </c>
      <c r="V19" s="217">
        <v>1.4610000000000001</v>
      </c>
      <c r="W19" s="217">
        <v>8646.15</v>
      </c>
    </row>
    <row r="20" spans="2:23" ht="14.45" customHeight="1" x14ac:dyDescent="0.25">
      <c r="K20" s="88" t="s">
        <v>82</v>
      </c>
      <c r="L20" s="84"/>
      <c r="M20" s="84"/>
      <c r="U20" s="216" t="s">
        <v>358</v>
      </c>
      <c r="V20" s="217">
        <v>2.012</v>
      </c>
      <c r="W20" s="217">
        <v>11908.72</v>
      </c>
    </row>
    <row r="21" spans="2:23" ht="14.45" customHeight="1" x14ac:dyDescent="0.25">
      <c r="K21" s="88" t="s">
        <v>365</v>
      </c>
      <c r="L21" s="84"/>
      <c r="M21" s="84"/>
      <c r="U21" s="216" t="s">
        <v>359</v>
      </c>
      <c r="V21" s="217">
        <v>0.42299999999999999</v>
      </c>
      <c r="W21" s="217">
        <v>2501.5100000000002</v>
      </c>
    </row>
    <row r="22" spans="2:23" ht="14.45" customHeight="1" x14ac:dyDescent="0.25">
      <c r="K22" s="84"/>
      <c r="L22" s="84"/>
      <c r="M22" s="84"/>
      <c r="U22" s="216" t="s">
        <v>360</v>
      </c>
      <c r="V22" s="217">
        <v>0.82599999999999996</v>
      </c>
      <c r="W22" s="217">
        <v>4889.5</v>
      </c>
    </row>
    <row r="23" spans="2:23" ht="14.45" customHeight="1" x14ac:dyDescent="0.25">
      <c r="K23" s="84"/>
      <c r="L23" s="84"/>
      <c r="M23" s="84"/>
      <c r="U23" s="216" t="s">
        <v>361</v>
      </c>
      <c r="V23" s="217">
        <v>0.99099999999999999</v>
      </c>
      <c r="W23" s="217">
        <v>5866.1</v>
      </c>
    </row>
    <row r="24" spans="2:23" x14ac:dyDescent="0.25">
      <c r="U24" s="216" t="s">
        <v>362</v>
      </c>
      <c r="V24" s="217">
        <v>2.4249999999999998</v>
      </c>
      <c r="W24" s="217">
        <v>14355.01</v>
      </c>
    </row>
    <row r="25" spans="2:23" x14ac:dyDescent="0.25">
      <c r="U25" s="216" t="s">
        <v>363</v>
      </c>
      <c r="V25" s="217">
        <v>0.30199999999999999</v>
      </c>
      <c r="W25" s="217">
        <v>1786.05</v>
      </c>
    </row>
  </sheetData>
  <sheetProtection algorithmName="SHA-512" hashValue="SiF3DhQ327rjUKA+c0Rmbj1BmjraHhnAevVeDbX2MhJQeS8bncK4n+L3Nzz/KtqUr6DjEFoAYFB9HZ9PA+lF8w==" saltValue="UUPWBJukzp2VvQf01C1gXw==" spinCount="100000" sheet="1" objects="1" scenarios="1"/>
  <mergeCells count="11">
    <mergeCell ref="B13:H13"/>
    <mergeCell ref="B2:I2"/>
    <mergeCell ref="B4:I4"/>
    <mergeCell ref="B5:B6"/>
    <mergeCell ref="C5:C6"/>
    <mergeCell ref="D5:D6"/>
    <mergeCell ref="E5:E6"/>
    <mergeCell ref="F5:F6"/>
    <mergeCell ref="G5:G6"/>
    <mergeCell ref="I5:I6"/>
    <mergeCell ref="H5:H6"/>
  </mergeCells>
  <conditionalFormatting sqref="H16:I17">
    <cfRule type="expression" dxfId="7" priority="1">
      <formula>ISBLANK($B$17)</formula>
    </cfRule>
  </conditionalFormatting>
  <dataValidations count="2">
    <dataValidation type="list" allowBlank="1" showInputMessage="1" showErrorMessage="1" prompt="Select Low or High" sqref="E7:E12" xr:uid="{00000000-0002-0000-0400-000000000000}">
      <formula1>"Low, High"</formula1>
    </dataValidation>
    <dataValidation type="list" allowBlank="1" showInputMessage="1" showErrorMessage="1" prompt="Select Dishwasher Type" sqref="D7:D12" xr:uid="{00000000-0002-0000-0400-000001000000}">
      <formula1>$K$17:$K$21</formula1>
    </dataValidation>
  </dataValidations>
  <hyperlinks>
    <hyperlink ref="B1" location="Summary!A1" display="Back to Summary Page"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8"/>
  <sheetViews>
    <sheetView showGridLines="0" topLeftCell="A3" workbookViewId="0">
      <selection activeCell="C17" sqref="C17"/>
    </sheetView>
  </sheetViews>
  <sheetFormatPr defaultRowHeight="15" x14ac:dyDescent="0.25"/>
  <cols>
    <col min="2" max="2" width="20.140625" customWidth="1"/>
    <col min="3" max="3" width="25.140625" customWidth="1"/>
    <col min="4" max="8" width="12.5703125" customWidth="1"/>
    <col min="9" max="9" width="8.85546875" customWidth="1"/>
    <col min="10" max="11" width="8.85546875" hidden="1" customWidth="1"/>
    <col min="12" max="12" width="14" hidden="1" customWidth="1"/>
    <col min="13" max="13" width="7.28515625" hidden="1" customWidth="1"/>
    <col min="14" max="15" width="15.7109375" hidden="1" customWidth="1"/>
  </cols>
  <sheetData>
    <row r="1" spans="2:15" ht="15.75" thickBot="1" x14ac:dyDescent="0.3">
      <c r="B1" s="28" t="s">
        <v>27</v>
      </c>
    </row>
    <row r="2" spans="2:15" ht="16.149999999999999" customHeight="1" thickBot="1" x14ac:dyDescent="0.3">
      <c r="B2" s="466" t="s">
        <v>125</v>
      </c>
      <c r="C2" s="467"/>
      <c r="D2" s="467"/>
      <c r="E2" s="467"/>
      <c r="F2" s="467"/>
      <c r="G2" s="467"/>
      <c r="H2" s="468"/>
    </row>
    <row r="4" spans="2:15" x14ac:dyDescent="0.25">
      <c r="B4" s="500" t="s">
        <v>16</v>
      </c>
      <c r="C4" s="501"/>
      <c r="D4" s="501"/>
      <c r="E4" s="501"/>
      <c r="F4" s="501"/>
      <c r="G4" s="501"/>
      <c r="H4" s="502"/>
      <c r="I4" s="84"/>
      <c r="J4" s="84"/>
      <c r="K4" s="84"/>
      <c r="L4" s="84"/>
    </row>
    <row r="5" spans="2:15" x14ac:dyDescent="0.25">
      <c r="B5" s="294" t="s">
        <v>17</v>
      </c>
      <c r="C5" s="294" t="s">
        <v>18</v>
      </c>
      <c r="D5" s="503" t="s">
        <v>19</v>
      </c>
      <c r="E5" s="505" t="s">
        <v>126</v>
      </c>
      <c r="F5" s="505" t="s">
        <v>127</v>
      </c>
      <c r="G5" s="505" t="s">
        <v>128</v>
      </c>
      <c r="H5" s="294" t="s">
        <v>11</v>
      </c>
      <c r="I5" s="84"/>
      <c r="J5" s="84"/>
      <c r="K5" s="84"/>
      <c r="L5" s="84"/>
    </row>
    <row r="6" spans="2:15" ht="30" x14ac:dyDescent="0.25">
      <c r="B6" s="294"/>
      <c r="C6" s="294"/>
      <c r="D6" s="504"/>
      <c r="E6" s="506"/>
      <c r="F6" s="506"/>
      <c r="G6" s="506"/>
      <c r="H6" s="294"/>
      <c r="I6" s="84"/>
      <c r="J6" s="84"/>
      <c r="K6" s="84"/>
      <c r="L6" s="84"/>
      <c r="N6" s="176" t="s">
        <v>257</v>
      </c>
      <c r="O6" s="176" t="s">
        <v>258</v>
      </c>
    </row>
    <row r="7" spans="2:15" s="110" customFormat="1" ht="18" customHeight="1" x14ac:dyDescent="0.2">
      <c r="B7" s="59" t="s">
        <v>129</v>
      </c>
      <c r="C7" s="59" t="s">
        <v>23</v>
      </c>
      <c r="D7" s="105">
        <v>123456789</v>
      </c>
      <c r="E7" s="106">
        <v>0.8</v>
      </c>
      <c r="F7" s="107">
        <v>250</v>
      </c>
      <c r="G7" s="107">
        <v>3</v>
      </c>
      <c r="H7" s="243">
        <f>G7*J16</f>
        <v>600</v>
      </c>
      <c r="I7" s="109"/>
      <c r="J7" s="109"/>
      <c r="K7" s="109"/>
      <c r="L7" s="109"/>
      <c r="N7" s="41">
        <f>G7*$M$17</f>
        <v>0.51899999999999991</v>
      </c>
      <c r="O7" s="38">
        <f>G7*$N$17</f>
        <v>2273.64</v>
      </c>
    </row>
    <row r="8" spans="2:15" s="110" customFormat="1" x14ac:dyDescent="0.2">
      <c r="B8" s="62"/>
      <c r="C8" s="62"/>
      <c r="D8" s="111"/>
      <c r="E8" s="112"/>
      <c r="F8" s="62"/>
      <c r="G8" s="113"/>
      <c r="H8" s="244" t="str">
        <f>IF(OR(E8="",F8=""),"",IF($L8="GOOD",G8*$J$16,"Does Not Qualify"))</f>
        <v/>
      </c>
      <c r="I8" s="109"/>
      <c r="J8" s="109" t="str">
        <f>IF(E8&gt;=70%,"GOOD","BAD")</f>
        <v>BAD</v>
      </c>
      <c r="K8" s="109" t="str">
        <f>IF(F8&lt;=320,"GOOD","BAD")</f>
        <v>GOOD</v>
      </c>
      <c r="L8" s="109" t="b">
        <f>IF(J8="GOOD",IF(K8="GOOD","GOOD"))</f>
        <v>0</v>
      </c>
      <c r="N8" s="212">
        <f>IF(H8="Does Not Qualify",0,G8*$M$17)</f>
        <v>0</v>
      </c>
      <c r="O8" s="212">
        <f>IF(H8="Does Not Qualify",0,G8*$M$17)</f>
        <v>0</v>
      </c>
    </row>
    <row r="9" spans="2:15" s="110" customFormat="1" x14ac:dyDescent="0.2">
      <c r="B9" s="62"/>
      <c r="C9" s="62"/>
      <c r="D9" s="111"/>
      <c r="E9" s="112"/>
      <c r="F9" s="62"/>
      <c r="G9" s="64"/>
      <c r="H9" s="244" t="str">
        <f t="shared" ref="H9:H12" si="0">IF(OR(E9="",F9=""),"",IF($L9="GOOD",G9*$J$16,"Does Not Qualify"))</f>
        <v/>
      </c>
      <c r="I9" s="109"/>
      <c r="J9" s="109" t="str">
        <f t="shared" ref="J9:J12" si="1">IF(E9&gt;=70%,"GOOD","BAD")</f>
        <v>BAD</v>
      </c>
      <c r="K9" s="109" t="str">
        <f t="shared" ref="K9:K12" si="2">IF(F9&lt;=320,"GOOD","BAD")</f>
        <v>GOOD</v>
      </c>
      <c r="L9" s="109" t="b">
        <f>IF(J9="GOOD",IF(K9="GOOD","GOOD"))</f>
        <v>0</v>
      </c>
      <c r="N9" s="212">
        <f t="shared" ref="N9:N12" si="3">IF(H9="Does Not Qualify",0,G9*$M$17)</f>
        <v>0</v>
      </c>
      <c r="O9" s="212">
        <f t="shared" ref="O9:O12" si="4">IF(H9="Does Not Qualify",0,G9*$M$17)</f>
        <v>0</v>
      </c>
    </row>
    <row r="10" spans="2:15" s="110" customFormat="1" x14ac:dyDescent="0.2">
      <c r="B10" s="62"/>
      <c r="C10" s="62"/>
      <c r="D10" s="111"/>
      <c r="E10" s="112"/>
      <c r="F10" s="62"/>
      <c r="G10" s="64"/>
      <c r="H10" s="244" t="str">
        <f t="shared" si="0"/>
        <v/>
      </c>
      <c r="I10" s="109"/>
      <c r="J10" s="109" t="str">
        <f t="shared" si="1"/>
        <v>BAD</v>
      </c>
      <c r="K10" s="109" t="str">
        <f t="shared" si="2"/>
        <v>GOOD</v>
      </c>
      <c r="L10" s="109" t="b">
        <f>IF(J10="GOOD",IF(K10="GOOD","GOOD"))</f>
        <v>0</v>
      </c>
      <c r="N10" s="212">
        <f t="shared" si="3"/>
        <v>0</v>
      </c>
      <c r="O10" s="212">
        <f t="shared" si="4"/>
        <v>0</v>
      </c>
    </row>
    <row r="11" spans="2:15" s="110" customFormat="1" x14ac:dyDescent="0.2">
      <c r="B11" s="62"/>
      <c r="C11" s="62"/>
      <c r="D11" s="111"/>
      <c r="E11" s="112"/>
      <c r="F11" s="62"/>
      <c r="G11" s="64"/>
      <c r="H11" s="244" t="str">
        <f t="shared" si="0"/>
        <v/>
      </c>
      <c r="I11" s="109"/>
      <c r="J11" s="109" t="str">
        <f t="shared" si="1"/>
        <v>BAD</v>
      </c>
      <c r="K11" s="109" t="str">
        <f t="shared" si="2"/>
        <v>GOOD</v>
      </c>
      <c r="L11" s="109" t="b">
        <f>IF(J11="GOOD",IF(K11="GOOD","GOOD"))</f>
        <v>0</v>
      </c>
      <c r="N11" s="212">
        <f t="shared" si="3"/>
        <v>0</v>
      </c>
      <c r="O11" s="212">
        <f t="shared" si="4"/>
        <v>0</v>
      </c>
    </row>
    <row r="12" spans="2:15" s="110" customFormat="1" x14ac:dyDescent="0.2">
      <c r="B12" s="62"/>
      <c r="C12" s="62"/>
      <c r="D12" s="111"/>
      <c r="E12" s="112"/>
      <c r="F12" s="62"/>
      <c r="G12" s="64"/>
      <c r="H12" s="244" t="str">
        <f t="shared" si="0"/>
        <v/>
      </c>
      <c r="I12" s="109"/>
      <c r="J12" s="109" t="str">
        <f t="shared" si="1"/>
        <v>BAD</v>
      </c>
      <c r="K12" s="109" t="str">
        <f t="shared" si="2"/>
        <v>GOOD</v>
      </c>
      <c r="L12" s="109" t="b">
        <f>IF(J12="GOOD",IF(K12="GOOD","GOOD"))</f>
        <v>0</v>
      </c>
      <c r="N12" s="212">
        <f t="shared" si="3"/>
        <v>0</v>
      </c>
      <c r="O12" s="212">
        <f t="shared" si="4"/>
        <v>0</v>
      </c>
    </row>
    <row r="13" spans="2:15" ht="15.75" x14ac:dyDescent="0.25">
      <c r="B13" s="482" t="s">
        <v>26</v>
      </c>
      <c r="C13" s="482"/>
      <c r="D13" s="482"/>
      <c r="E13" s="482"/>
      <c r="F13" s="482"/>
      <c r="G13" s="482"/>
      <c r="H13" s="237">
        <f>SUM(H8:H12)</f>
        <v>0</v>
      </c>
      <c r="I13" s="84"/>
      <c r="J13" s="84"/>
      <c r="K13" s="84"/>
      <c r="L13" s="84"/>
    </row>
    <row r="16" spans="2:15" ht="38.25" x14ac:dyDescent="0.25">
      <c r="B16" s="196" t="s">
        <v>260</v>
      </c>
      <c r="C16" s="23" t="s">
        <v>402</v>
      </c>
      <c r="D16" s="23" t="s">
        <v>258</v>
      </c>
      <c r="E16" s="196" t="s">
        <v>369</v>
      </c>
      <c r="G16" s="211" t="s">
        <v>342</v>
      </c>
      <c r="H16" s="211" t="s">
        <v>401</v>
      </c>
      <c r="J16" s="92">
        <v>200</v>
      </c>
      <c r="L16" s="108" t="s">
        <v>343</v>
      </c>
      <c r="M16" s="108" t="s">
        <v>257</v>
      </c>
      <c r="N16" s="108" t="s">
        <v>258</v>
      </c>
    </row>
    <row r="17" spans="2:14" x14ac:dyDescent="0.25">
      <c r="B17" s="197"/>
      <c r="C17" s="230">
        <f>SUM(N8:N12)</f>
        <v>0</v>
      </c>
      <c r="D17" s="231">
        <f>SUM(O8:O12)</f>
        <v>0</v>
      </c>
      <c r="E17" s="232" t="str">
        <f>IFERROR(C18+D18,"Select Rate and Island from Summary Page")</f>
        <v>Select Rate and Island from Summary Page</v>
      </c>
      <c r="F17" s="233"/>
      <c r="G17" s="234" t="str">
        <f>IFERROR(ROUND(B17/E17,1),"")</f>
        <v/>
      </c>
      <c r="H17" s="235" t="str">
        <f>IFERROR(ROUND((B17-H13)/E17,1),"")</f>
        <v/>
      </c>
      <c r="L17" s="114" t="s">
        <v>367</v>
      </c>
      <c r="M17" s="219">
        <v>0.17299999999999999</v>
      </c>
      <c r="N17" s="219">
        <v>757.88</v>
      </c>
    </row>
    <row r="18" spans="2:14" hidden="1" x14ac:dyDescent="0.25">
      <c r="C18" s="210" t="e">
        <f>C17*Summary!F5*12</f>
        <v>#VALUE!</v>
      </c>
      <c r="D18" s="210" t="e">
        <f>D17*Summary!G5</f>
        <v>#VALUE!</v>
      </c>
    </row>
  </sheetData>
  <sheetProtection algorithmName="SHA-512" hashValue="oLcKVtovpTiWQZnTT5KFN6o4ZqPc18KUvMEComyLCcYXhmPt4rThuGssEcZgNKkRhhlschIjdO3lY8Zk5t3V/w==" saltValue="z/gap6rdlDt74DUQhyH3BA==" spinCount="100000" sheet="1" objects="1" scenarios="1"/>
  <mergeCells count="10">
    <mergeCell ref="B13:G13"/>
    <mergeCell ref="B2:H2"/>
    <mergeCell ref="B4:H4"/>
    <mergeCell ref="B5:B6"/>
    <mergeCell ref="C5:C6"/>
    <mergeCell ref="D5:D6"/>
    <mergeCell ref="E5:E6"/>
    <mergeCell ref="F5:F6"/>
    <mergeCell ref="G5:G6"/>
    <mergeCell ref="H5:H6"/>
  </mergeCells>
  <conditionalFormatting sqref="G16:H17">
    <cfRule type="expression" dxfId="6" priority="1">
      <formula>ISBLANK($B$17)</formula>
    </cfRule>
  </conditionalFormatting>
  <hyperlinks>
    <hyperlink ref="B1" location="Summary!A1" display="Back to Summary Page"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17"/>
  <sheetViews>
    <sheetView showGridLines="0" workbookViewId="0">
      <selection activeCell="G22" sqref="G22"/>
    </sheetView>
  </sheetViews>
  <sheetFormatPr defaultRowHeight="15" x14ac:dyDescent="0.25"/>
  <cols>
    <col min="2" max="8" width="14.5703125" customWidth="1"/>
    <col min="9" max="9" width="18.28515625" customWidth="1"/>
    <col min="11" max="11" width="16.5703125" hidden="1" customWidth="1"/>
    <col min="12" max="12" width="0" hidden="1" customWidth="1"/>
    <col min="13" max="13" width="15.7109375" hidden="1" customWidth="1"/>
    <col min="14" max="14" width="19.85546875" hidden="1" customWidth="1"/>
    <col min="15" max="15" width="20.42578125" hidden="1" customWidth="1"/>
  </cols>
  <sheetData>
    <row r="1" spans="2:15" ht="15.75" thickBot="1" x14ac:dyDescent="0.3">
      <c r="B1" s="28" t="s">
        <v>27</v>
      </c>
    </row>
    <row r="2" spans="2:15" ht="16.149999999999999" customHeight="1" thickBot="1" x14ac:dyDescent="0.3">
      <c r="B2" s="466" t="s">
        <v>131</v>
      </c>
      <c r="C2" s="467"/>
      <c r="D2" s="467"/>
      <c r="E2" s="467"/>
      <c r="F2" s="467"/>
      <c r="G2" s="467"/>
      <c r="H2" s="467"/>
      <c r="I2" s="468"/>
    </row>
    <row r="4" spans="2:15" ht="15.75" x14ac:dyDescent="0.25">
      <c r="B4" s="507" t="s">
        <v>16</v>
      </c>
      <c r="C4" s="508"/>
      <c r="D4" s="508"/>
      <c r="E4" s="508"/>
      <c r="F4" s="508"/>
      <c r="G4" s="508"/>
      <c r="H4" s="508"/>
      <c r="I4" s="509"/>
      <c r="J4" s="19"/>
      <c r="K4" s="19"/>
    </row>
    <row r="5" spans="2:15" ht="30" x14ac:dyDescent="0.25">
      <c r="B5" s="95" t="s">
        <v>17</v>
      </c>
      <c r="C5" s="95" t="s">
        <v>18</v>
      </c>
      <c r="D5" s="96" t="s">
        <v>19</v>
      </c>
      <c r="E5" s="97" t="s">
        <v>147</v>
      </c>
      <c r="F5" s="97" t="s">
        <v>148</v>
      </c>
      <c r="G5" s="97" t="s">
        <v>149</v>
      </c>
      <c r="H5" s="97" t="s">
        <v>21</v>
      </c>
      <c r="I5" s="95" t="s">
        <v>11</v>
      </c>
      <c r="J5" s="19"/>
      <c r="K5" s="98" t="s">
        <v>150</v>
      </c>
      <c r="M5" s="176" t="s">
        <v>257</v>
      </c>
      <c r="N5" s="176" t="s">
        <v>258</v>
      </c>
    </row>
    <row r="6" spans="2:15" s="110" customFormat="1" x14ac:dyDescent="0.2">
      <c r="B6" s="99" t="s">
        <v>151</v>
      </c>
      <c r="C6" s="99" t="s">
        <v>23</v>
      </c>
      <c r="D6" s="100">
        <v>123456789</v>
      </c>
      <c r="E6" s="100" t="s">
        <v>62</v>
      </c>
      <c r="F6" s="101">
        <v>13</v>
      </c>
      <c r="G6" s="101">
        <v>280</v>
      </c>
      <c r="H6" s="101">
        <v>1</v>
      </c>
      <c r="I6" s="245">
        <f>IF(AND(G6&lt;=K6,G6&gt;0),IF(E6=$K$15,H6*200,IF(E6=$K$16,H6*800,0)),IF(G6&gt;K6,"Not Qualified",0))</f>
        <v>200</v>
      </c>
      <c r="J6" s="115"/>
      <c r="K6" s="116">
        <f t="shared" ref="K6:K11" si="0">IF(AND(F6&gt;0, F6&lt;13), 21.5*F6, IF(AND(F6&gt;=13, F6&lt;28), 2*F6+254, IF(F6&gt;=28, 3.8*F6+203.5, "missing volume")))</f>
        <v>280</v>
      </c>
      <c r="M6" s="41">
        <f>IFERROR(IF($I6="Not Qualified",0,$H6*INDEX($M$15:$O$16,MATCH($E6,$M$15:$M$16,0),2)),"")</f>
        <v>0.33</v>
      </c>
      <c r="N6" s="41">
        <f>IFERROR(IF($I6="Not Qualified",0,$H6*INDEX($M$15:$O$16,MATCH($E6,$M$15:$M$16,0),3)),"")</f>
        <v>1806.75</v>
      </c>
    </row>
    <row r="7" spans="2:15" s="110" customFormat="1" x14ac:dyDescent="0.2">
      <c r="B7" s="102"/>
      <c r="C7" s="102"/>
      <c r="D7" s="103"/>
      <c r="E7" s="102"/>
      <c r="F7" s="103"/>
      <c r="G7" s="103"/>
      <c r="H7" s="103"/>
      <c r="I7" s="246">
        <f t="shared" ref="I7:I11" si="1">IF(AND(G7&lt;=K7,G7&gt;0),IF(E7=$K$15,H7*200,IF(E7=$K$16,H7*800,0)),IF(G7&gt;K7,"Not Qualified",0))</f>
        <v>0</v>
      </c>
      <c r="J7" s="115"/>
      <c r="K7" s="116" t="str">
        <f t="shared" si="0"/>
        <v>missing volume</v>
      </c>
      <c r="M7" s="212" t="str">
        <f t="shared" ref="M7:M11" si="2">IFERROR(IF($I7="Not Qualified",0,$H7*INDEX($M$15:$O$16,MATCH($E7,$M$15:$M$16,0),2)),"")</f>
        <v/>
      </c>
      <c r="N7" s="212" t="str">
        <f t="shared" ref="N7:N11" si="3">IFERROR(IF($I7="Not Qualified",0,$H7*INDEX($M$15:$O$16,MATCH($E7,$M$15:$M$16,0),3)),"")</f>
        <v/>
      </c>
    </row>
    <row r="8" spans="2:15" s="110" customFormat="1" x14ac:dyDescent="0.2">
      <c r="B8" s="102"/>
      <c r="C8" s="102"/>
      <c r="D8" s="103"/>
      <c r="E8" s="102"/>
      <c r="F8" s="103"/>
      <c r="G8" s="103"/>
      <c r="H8" s="103"/>
      <c r="I8" s="246">
        <f t="shared" si="1"/>
        <v>0</v>
      </c>
      <c r="J8" s="115"/>
      <c r="K8" s="116" t="str">
        <f t="shared" si="0"/>
        <v>missing volume</v>
      </c>
      <c r="M8" s="212" t="str">
        <f t="shared" si="2"/>
        <v/>
      </c>
      <c r="N8" s="212" t="str">
        <f t="shared" si="3"/>
        <v/>
      </c>
    </row>
    <row r="9" spans="2:15" s="110" customFormat="1" x14ac:dyDescent="0.2">
      <c r="B9" s="102"/>
      <c r="C9" s="102"/>
      <c r="D9" s="103"/>
      <c r="E9" s="102"/>
      <c r="F9" s="103"/>
      <c r="G9" s="103"/>
      <c r="H9" s="103"/>
      <c r="I9" s="246">
        <f t="shared" si="1"/>
        <v>0</v>
      </c>
      <c r="J9" s="115"/>
      <c r="K9" s="116" t="str">
        <f t="shared" si="0"/>
        <v>missing volume</v>
      </c>
      <c r="M9" s="212" t="str">
        <f t="shared" si="2"/>
        <v/>
      </c>
      <c r="N9" s="212" t="str">
        <f t="shared" si="3"/>
        <v/>
      </c>
    </row>
    <row r="10" spans="2:15" s="110" customFormat="1" x14ac:dyDescent="0.2">
      <c r="B10" s="102"/>
      <c r="C10" s="102"/>
      <c r="D10" s="103"/>
      <c r="E10" s="102"/>
      <c r="F10" s="103"/>
      <c r="G10" s="103"/>
      <c r="H10" s="103"/>
      <c r="I10" s="246">
        <f t="shared" si="1"/>
        <v>0</v>
      </c>
      <c r="J10" s="115"/>
      <c r="K10" s="116" t="str">
        <f t="shared" si="0"/>
        <v>missing volume</v>
      </c>
      <c r="M10" s="212" t="str">
        <f t="shared" si="2"/>
        <v/>
      </c>
      <c r="N10" s="212" t="str">
        <f t="shared" si="3"/>
        <v/>
      </c>
    </row>
    <row r="11" spans="2:15" s="110" customFormat="1" x14ac:dyDescent="0.2">
      <c r="B11" s="102"/>
      <c r="C11" s="102"/>
      <c r="D11" s="103"/>
      <c r="E11" s="102"/>
      <c r="F11" s="103"/>
      <c r="G11" s="103"/>
      <c r="H11" s="103"/>
      <c r="I11" s="246">
        <f t="shared" si="1"/>
        <v>0</v>
      </c>
      <c r="J11" s="115"/>
      <c r="K11" s="116" t="str">
        <f t="shared" si="0"/>
        <v>missing volume</v>
      </c>
      <c r="M11" s="212" t="str">
        <f t="shared" si="2"/>
        <v/>
      </c>
      <c r="N11" s="212" t="str">
        <f t="shared" si="3"/>
        <v/>
      </c>
    </row>
    <row r="12" spans="2:15" ht="15.75" x14ac:dyDescent="0.25">
      <c r="B12" s="273" t="s">
        <v>26</v>
      </c>
      <c r="C12" s="273"/>
      <c r="D12" s="273"/>
      <c r="E12" s="273"/>
      <c r="F12" s="273"/>
      <c r="G12" s="273"/>
      <c r="H12" s="273"/>
      <c r="I12" s="247">
        <f>SUM(I7:I11)</f>
        <v>0</v>
      </c>
      <c r="J12" s="19"/>
      <c r="K12" s="19"/>
    </row>
    <row r="14" spans="2:15" x14ac:dyDescent="0.25">
      <c r="K14" s="104" t="s">
        <v>43</v>
      </c>
      <c r="M14" s="104" t="s">
        <v>343</v>
      </c>
      <c r="N14" s="104" t="s">
        <v>257</v>
      </c>
      <c r="O14" s="104" t="s">
        <v>258</v>
      </c>
    </row>
    <row r="15" spans="2:15" ht="38.25" x14ac:dyDescent="0.25">
      <c r="B15" s="196" t="s">
        <v>260</v>
      </c>
      <c r="C15" s="23" t="s">
        <v>402</v>
      </c>
      <c r="D15" s="23" t="s">
        <v>258</v>
      </c>
      <c r="E15" s="196" t="s">
        <v>369</v>
      </c>
      <c r="H15" s="211" t="s">
        <v>342</v>
      </c>
      <c r="I15" s="211" t="s">
        <v>401</v>
      </c>
      <c r="K15" s="94" t="s">
        <v>62</v>
      </c>
      <c r="M15" s="94" t="s">
        <v>64</v>
      </c>
      <c r="N15" s="94">
        <v>0.72</v>
      </c>
      <c r="O15" s="94">
        <v>3942</v>
      </c>
    </row>
    <row r="16" spans="2:15" x14ac:dyDescent="0.25">
      <c r="B16" s="197"/>
      <c r="C16" s="230">
        <f>SUM(M7:M11)</f>
        <v>0</v>
      </c>
      <c r="D16" s="231">
        <f>SUM(N7:N11)</f>
        <v>0</v>
      </c>
      <c r="E16" s="232" t="str">
        <f>IFERROR(C17+D17,"Select Rate and Island from Summary Page")</f>
        <v>Select Rate and Island from Summary Page</v>
      </c>
      <c r="F16" s="233"/>
      <c r="G16" s="233"/>
      <c r="H16" s="234" t="str">
        <f>IFERROR(ROUND(B16/E16,1),"")</f>
        <v/>
      </c>
      <c r="I16" s="235" t="str">
        <f>IFERROR(ROUND((B16-I12)/E16,1),"")</f>
        <v/>
      </c>
      <c r="K16" s="94" t="s">
        <v>64</v>
      </c>
      <c r="M16" s="94" t="s">
        <v>62</v>
      </c>
      <c r="N16" s="94">
        <v>0.33</v>
      </c>
      <c r="O16" s="94">
        <v>1806.75</v>
      </c>
    </row>
    <row r="17" spans="3:4" hidden="1" x14ac:dyDescent="0.25">
      <c r="C17" s="210" t="e">
        <f>C16*Summary!F5*12</f>
        <v>#VALUE!</v>
      </c>
      <c r="D17" s="210" t="e">
        <f>D16*Summary!G5</f>
        <v>#VALUE!</v>
      </c>
    </row>
  </sheetData>
  <sheetProtection algorithmName="SHA-512" hashValue="Omcv5MpEE7YuIp6VtAc9KYadgvvUNuyaOYx5e3GD+XYqml5CPGzcMEy9dRMjIix56OySD0TeKCyUu4CMwfbFgw==" saltValue="983ik+f8LK7XcfHgMN7DBw==" spinCount="100000" sheet="1" objects="1" scenarios="1"/>
  <mergeCells count="3">
    <mergeCell ref="B4:I4"/>
    <mergeCell ref="B12:H12"/>
    <mergeCell ref="B2:I2"/>
  </mergeCells>
  <conditionalFormatting sqref="H15:I16">
    <cfRule type="expression" dxfId="5" priority="1">
      <formula>ISBLANK($B$16)</formula>
    </cfRule>
  </conditionalFormatting>
  <dataValidations count="1">
    <dataValidation type="list" allowBlank="1" showInputMessage="1" showErrorMessage="1" sqref="E6:E11" xr:uid="{00000000-0002-0000-0600-000000000000}">
      <formula1>$K$15:$K$16</formula1>
    </dataValidation>
  </dataValidations>
  <hyperlinks>
    <hyperlink ref="B1" location="Summary!A1" display="Back to Summary Page"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17"/>
  <sheetViews>
    <sheetView showGridLines="0" workbookViewId="0">
      <selection activeCell="H13" sqref="H13"/>
    </sheetView>
  </sheetViews>
  <sheetFormatPr defaultRowHeight="15" x14ac:dyDescent="0.25"/>
  <cols>
    <col min="2" max="8" width="16" customWidth="1"/>
    <col min="10" max="10" width="13" hidden="1" customWidth="1"/>
    <col min="11" max="11" width="8.85546875" hidden="1" customWidth="1"/>
    <col min="12" max="12" width="14.140625" hidden="1" customWidth="1"/>
    <col min="13" max="13" width="19.85546875" bestFit="1" customWidth="1"/>
    <col min="14" max="14" width="20.42578125" bestFit="1" customWidth="1"/>
  </cols>
  <sheetData>
    <row r="1" spans="2:12" ht="15.75" thickBot="1" x14ac:dyDescent="0.3">
      <c r="B1" s="28" t="s">
        <v>27</v>
      </c>
    </row>
    <row r="2" spans="2:12" ht="16.149999999999999" customHeight="1" thickBot="1" x14ac:dyDescent="0.3">
      <c r="B2" s="466" t="s">
        <v>169</v>
      </c>
      <c r="C2" s="467"/>
      <c r="D2" s="467"/>
      <c r="E2" s="467"/>
      <c r="F2" s="467"/>
      <c r="G2" s="467"/>
      <c r="H2" s="468"/>
    </row>
    <row r="4" spans="2:12" ht="15.75" x14ac:dyDescent="0.25">
      <c r="B4" s="494" t="s">
        <v>16</v>
      </c>
      <c r="C4" s="494"/>
      <c r="D4" s="494"/>
      <c r="E4" s="494"/>
      <c r="F4" s="494"/>
      <c r="G4" s="494"/>
      <c r="H4" s="494"/>
      <c r="I4" s="84"/>
      <c r="J4" s="84"/>
      <c r="K4" s="84"/>
      <c r="L4" s="84"/>
    </row>
    <row r="5" spans="2:12" x14ac:dyDescent="0.25">
      <c r="B5" s="495" t="s">
        <v>17</v>
      </c>
      <c r="C5" s="495" t="s">
        <v>18</v>
      </c>
      <c r="D5" s="495" t="s">
        <v>70</v>
      </c>
      <c r="E5" s="495" t="s">
        <v>21</v>
      </c>
      <c r="F5" s="495" t="s">
        <v>170</v>
      </c>
      <c r="G5" s="495" t="s">
        <v>161</v>
      </c>
      <c r="H5" s="495" t="s">
        <v>11</v>
      </c>
      <c r="I5" s="84"/>
      <c r="J5" s="84"/>
      <c r="K5" s="84"/>
      <c r="L5" s="84"/>
    </row>
    <row r="6" spans="2:12" ht="15.75" thickBot="1" x14ac:dyDescent="0.3">
      <c r="B6" s="495"/>
      <c r="C6" s="495"/>
      <c r="D6" s="495"/>
      <c r="E6" s="495"/>
      <c r="F6" s="495"/>
      <c r="G6" s="495"/>
      <c r="H6" s="495"/>
      <c r="I6" s="84"/>
      <c r="J6" s="84"/>
      <c r="K6" s="84"/>
      <c r="L6" s="84"/>
    </row>
    <row r="7" spans="2:12" ht="15" customHeight="1" x14ac:dyDescent="0.25">
      <c r="B7" s="119" t="s">
        <v>171</v>
      </c>
      <c r="C7" s="119" t="s">
        <v>23</v>
      </c>
      <c r="D7" s="119" t="s">
        <v>172</v>
      </c>
      <c r="E7" s="119">
        <v>1</v>
      </c>
      <c r="F7" s="119" t="s">
        <v>173</v>
      </c>
      <c r="G7" s="120" t="s">
        <v>370</v>
      </c>
      <c r="H7" s="248">
        <v>100</v>
      </c>
      <c r="I7" s="84"/>
      <c r="J7" s="121" t="s">
        <v>70</v>
      </c>
      <c r="K7" s="84"/>
      <c r="L7" s="122" t="s">
        <v>170</v>
      </c>
    </row>
    <row r="8" spans="2:12" x14ac:dyDescent="0.25">
      <c r="B8" s="62"/>
      <c r="C8" s="62"/>
      <c r="D8" s="62"/>
      <c r="E8" s="62"/>
      <c r="F8" s="62"/>
      <c r="G8" s="64"/>
      <c r="H8" s="232" t="str">
        <f>IFERROR(E8*VLOOKUP(G8,Summary!$B$137:$G$141,5,FALSE)," ")</f>
        <v xml:space="preserve"> </v>
      </c>
      <c r="I8" s="84"/>
      <c r="J8" s="123" t="s">
        <v>174</v>
      </c>
      <c r="K8" s="84"/>
      <c r="L8" s="123" t="s">
        <v>173</v>
      </c>
    </row>
    <row r="9" spans="2:12" ht="15.75" thickBot="1" x14ac:dyDescent="0.3">
      <c r="B9" s="62"/>
      <c r="C9" s="62"/>
      <c r="D9" s="62"/>
      <c r="E9" s="62"/>
      <c r="F9" s="62"/>
      <c r="G9" s="64"/>
      <c r="H9" s="232" t="str">
        <f>IFERROR(E9*VLOOKUP(G9,Summary!$B$137:$G$141,5,FALSE)," ")</f>
        <v xml:space="preserve"> </v>
      </c>
      <c r="I9" s="84"/>
      <c r="J9" s="123" t="s">
        <v>172</v>
      </c>
      <c r="K9" s="84"/>
      <c r="L9" s="124" t="s">
        <v>175</v>
      </c>
    </row>
    <row r="10" spans="2:12" ht="15.75" thickBot="1" x14ac:dyDescent="0.3">
      <c r="B10" s="62"/>
      <c r="C10" s="62"/>
      <c r="D10" s="62"/>
      <c r="E10" s="62"/>
      <c r="F10" s="62"/>
      <c r="G10" s="64"/>
      <c r="H10" s="232" t="str">
        <f>IFERROR(E10*VLOOKUP(G10,Summary!$B$137:$G$141,5,FALSE)," ")</f>
        <v xml:space="preserve"> </v>
      </c>
      <c r="I10" s="84"/>
      <c r="J10" s="124" t="s">
        <v>176</v>
      </c>
      <c r="K10" s="84"/>
      <c r="L10" s="84"/>
    </row>
    <row r="11" spans="2:12" x14ac:dyDescent="0.25">
      <c r="B11" s="62"/>
      <c r="C11" s="62"/>
      <c r="D11" s="62"/>
      <c r="E11" s="62"/>
      <c r="F11" s="62"/>
      <c r="G11" s="64"/>
      <c r="H11" s="232" t="str">
        <f>IFERROR(E11*VLOOKUP(G11,Summary!$B$137:$G$141,5,FALSE)," ")</f>
        <v xml:space="preserve"> </v>
      </c>
      <c r="I11" s="84"/>
      <c r="J11" s="84"/>
      <c r="K11" s="84"/>
      <c r="L11" s="84"/>
    </row>
    <row r="12" spans="2:12" x14ac:dyDescent="0.25">
      <c r="B12" s="62"/>
      <c r="C12" s="62"/>
      <c r="D12" s="62"/>
      <c r="E12" s="62"/>
      <c r="F12" s="62"/>
      <c r="G12" s="64"/>
      <c r="H12" s="232" t="str">
        <f>IFERROR(E12*VLOOKUP(G12,Summary!$B$137:$G$141,5,FALSE)," ")</f>
        <v xml:space="preserve"> </v>
      </c>
      <c r="I12" s="84"/>
      <c r="J12" s="84"/>
      <c r="K12" s="84"/>
      <c r="L12" s="84"/>
    </row>
    <row r="13" spans="2:12" ht="15.75" x14ac:dyDescent="0.25">
      <c r="B13" s="482" t="s">
        <v>26</v>
      </c>
      <c r="C13" s="482"/>
      <c r="D13" s="482"/>
      <c r="E13" s="482"/>
      <c r="F13" s="482"/>
      <c r="G13" s="482"/>
      <c r="H13" s="247">
        <f>SUM(H8:H12)</f>
        <v>0</v>
      </c>
      <c r="I13" s="84"/>
      <c r="J13" s="117" t="s">
        <v>370</v>
      </c>
    </row>
    <row r="14" spans="2:12" x14ac:dyDescent="0.25">
      <c r="J14" s="117" t="s">
        <v>163</v>
      </c>
    </row>
    <row r="15" spans="2:12" x14ac:dyDescent="0.25">
      <c r="J15" s="117" t="s">
        <v>164</v>
      </c>
    </row>
    <row r="16" spans="2:12" x14ac:dyDescent="0.25">
      <c r="J16" s="117" t="s">
        <v>165</v>
      </c>
    </row>
    <row r="17" spans="10:10" ht="15" customHeight="1" x14ac:dyDescent="0.25">
      <c r="J17" s="117" t="s">
        <v>166</v>
      </c>
    </row>
  </sheetData>
  <sheetProtection algorithmName="SHA-512" hashValue="sCfeXLxpy1CWnyh1czw9tusdW3uS0QQKti/yCgTlGC4VG8ogjxJDC714plYAcghDt51+S9VIfTM+Xmx0Dow9TQ==" saltValue="/iOZfUTuJfFRzQcb+9I3cw==" spinCount="100000" sheet="1" objects="1" scenarios="1"/>
  <mergeCells count="10">
    <mergeCell ref="B13:G13"/>
    <mergeCell ref="B2:H2"/>
    <mergeCell ref="B4:H4"/>
    <mergeCell ref="B5:B6"/>
    <mergeCell ref="C5:C6"/>
    <mergeCell ref="D5:D6"/>
    <mergeCell ref="E5:E6"/>
    <mergeCell ref="F5:F6"/>
    <mergeCell ref="G5:G6"/>
    <mergeCell ref="H5:H6"/>
  </mergeCells>
  <dataValidations count="3">
    <dataValidation type="list" allowBlank="1" showInputMessage="1" showErrorMessage="1" sqref="F7:F12" xr:uid="{00000000-0002-0000-0700-000001000000}">
      <formula1>$L$8:$L$9</formula1>
    </dataValidation>
    <dataValidation type="list" errorStyle="information" allowBlank="1" showInputMessage="1" showErrorMessage="1" sqref="D7:D12" xr:uid="{00000000-0002-0000-0700-000002000000}">
      <formula1>$J$8:$J$10</formula1>
    </dataValidation>
    <dataValidation type="list" allowBlank="1" showInputMessage="1" showErrorMessage="1" sqref="G7:G12" xr:uid="{00000000-0002-0000-0700-000000000000}">
      <formula1>$J$13:$J$17</formula1>
    </dataValidation>
  </dataValidations>
  <hyperlinks>
    <hyperlink ref="B1" location="Summary!A1" display="Back to Summary Page"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S32"/>
  <sheetViews>
    <sheetView showGridLines="0" workbookViewId="0">
      <selection activeCell="H22" sqref="H22"/>
    </sheetView>
  </sheetViews>
  <sheetFormatPr defaultRowHeight="15" x14ac:dyDescent="0.25"/>
  <cols>
    <col min="2" max="7" width="15.140625" customWidth="1"/>
    <col min="8" max="8" width="11.7109375" customWidth="1"/>
    <col min="9" max="9" width="18" customWidth="1"/>
    <col min="11" max="11" width="26.5703125" hidden="1" customWidth="1"/>
    <col min="12" max="12" width="19.85546875" hidden="1" customWidth="1"/>
    <col min="13" max="13" width="20.42578125" hidden="1" customWidth="1"/>
    <col min="14" max="15" width="0" hidden="1" customWidth="1"/>
    <col min="16" max="16" width="29.85546875" hidden="1" customWidth="1"/>
    <col min="17" max="17" width="19.85546875" hidden="1" customWidth="1"/>
    <col min="18" max="18" width="20.42578125" hidden="1" customWidth="1"/>
    <col min="19" max="19" width="9" hidden="1" customWidth="1"/>
  </cols>
  <sheetData>
    <row r="1" spans="2:19" ht="15.75" thickBot="1" x14ac:dyDescent="0.3">
      <c r="B1" s="28" t="s">
        <v>27</v>
      </c>
    </row>
    <row r="2" spans="2:19" ht="16.149999999999999" customHeight="1" thickBot="1" x14ac:dyDescent="0.3">
      <c r="B2" s="513" t="s">
        <v>190</v>
      </c>
      <c r="C2" s="514"/>
      <c r="D2" s="514"/>
      <c r="E2" s="514"/>
      <c r="F2" s="514"/>
      <c r="G2" s="514"/>
      <c r="H2" s="514"/>
      <c r="I2" s="515"/>
    </row>
    <row r="4" spans="2:19" ht="15.75" x14ac:dyDescent="0.25">
      <c r="B4" s="516" t="s">
        <v>16</v>
      </c>
      <c r="C4" s="517"/>
      <c r="D4" s="517"/>
      <c r="E4" s="517"/>
      <c r="F4" s="517"/>
      <c r="G4" s="517"/>
      <c r="H4" s="517"/>
      <c r="I4" s="517"/>
      <c r="J4" s="58"/>
      <c r="K4" s="58"/>
      <c r="L4" s="58"/>
      <c r="M4" s="58"/>
      <c r="N4" s="58"/>
      <c r="O4" s="58"/>
      <c r="P4" s="132" t="s">
        <v>43</v>
      </c>
      <c r="Q4" s="58"/>
      <c r="R4" s="132" t="s">
        <v>191</v>
      </c>
    </row>
    <row r="5" spans="2:19" x14ac:dyDescent="0.25">
      <c r="B5" s="294" t="s">
        <v>17</v>
      </c>
      <c r="C5" s="294" t="s">
        <v>18</v>
      </c>
      <c r="D5" s="503" t="s">
        <v>19</v>
      </c>
      <c r="E5" s="503" t="s">
        <v>191</v>
      </c>
      <c r="F5" s="505" t="s">
        <v>192</v>
      </c>
      <c r="G5" s="505" t="s">
        <v>63</v>
      </c>
      <c r="H5" s="505" t="s">
        <v>21</v>
      </c>
      <c r="I5" s="294" t="s">
        <v>11</v>
      </c>
      <c r="J5" s="58"/>
      <c r="K5" s="58"/>
      <c r="L5" s="58"/>
      <c r="M5" s="58"/>
      <c r="N5" s="58"/>
      <c r="O5" s="58"/>
      <c r="P5" s="66" t="s">
        <v>371</v>
      </c>
      <c r="Q5" s="58"/>
      <c r="R5" s="66" t="s">
        <v>193</v>
      </c>
    </row>
    <row r="6" spans="2:19" ht="30" x14ac:dyDescent="0.25">
      <c r="B6" s="294"/>
      <c r="C6" s="294"/>
      <c r="D6" s="504"/>
      <c r="E6" s="504"/>
      <c r="F6" s="506"/>
      <c r="G6" s="506"/>
      <c r="H6" s="506"/>
      <c r="I6" s="294"/>
      <c r="J6" s="58"/>
      <c r="K6" s="175"/>
      <c r="L6" s="175" t="s">
        <v>257</v>
      </c>
      <c r="M6" s="175" t="s">
        <v>258</v>
      </c>
      <c r="N6" s="175" t="s">
        <v>11</v>
      </c>
      <c r="O6" s="58"/>
      <c r="P6" s="66" t="s">
        <v>372</v>
      </c>
      <c r="Q6" s="58"/>
      <c r="R6" s="66" t="s">
        <v>194</v>
      </c>
    </row>
    <row r="7" spans="2:19" ht="24" x14ac:dyDescent="0.25">
      <c r="B7" s="59" t="s">
        <v>195</v>
      </c>
      <c r="C7" s="59" t="s">
        <v>23</v>
      </c>
      <c r="D7" s="105">
        <v>123456789</v>
      </c>
      <c r="E7" s="105" t="s">
        <v>193</v>
      </c>
      <c r="F7" s="133" t="s">
        <v>371</v>
      </c>
      <c r="G7" s="133" t="s">
        <v>181</v>
      </c>
      <c r="H7" s="133">
        <v>1</v>
      </c>
      <c r="I7" s="249">
        <f>N7</f>
        <v>100</v>
      </c>
      <c r="J7" s="58"/>
      <c r="K7" s="133" t="str">
        <f>E7&amp;" "&amp;F7&amp;", "&amp;G7</f>
        <v>Vertical Solid-Door, 0 &lt; V &lt; 15</v>
      </c>
      <c r="L7" s="133">
        <f>IFERROR($H7*INDEX($P$17:$S$32,MATCH($K7,$P$17:$P$32,0),2),0)</f>
        <v>3.1E-2</v>
      </c>
      <c r="M7" s="133">
        <f>IFERROR($H7*INDEX($P$17:$S$32,MATCH($K7,$P$17:$P$32,0),3),0)</f>
        <v>268.18</v>
      </c>
      <c r="N7" s="133">
        <f>IFERROR($H7*INDEX($P$17:$S$32,MATCH($K7,$P$17:$P$32,0),4),0)</f>
        <v>100</v>
      </c>
      <c r="O7" s="58"/>
      <c r="P7" s="58"/>
      <c r="Q7" s="58"/>
      <c r="R7" s="58"/>
    </row>
    <row r="8" spans="2:19" x14ac:dyDescent="0.25">
      <c r="B8" s="62"/>
      <c r="C8" s="62"/>
      <c r="D8" s="111"/>
      <c r="E8" s="62"/>
      <c r="F8" s="62"/>
      <c r="G8" s="134"/>
      <c r="H8" s="113"/>
      <c r="I8" s="250">
        <f t="shared" ref="I8:I12" si="0">N8</f>
        <v>0</v>
      </c>
      <c r="J8" s="58"/>
      <c r="K8" s="66" t="str">
        <f t="shared" ref="K8:K12" si="1">E8&amp;" "&amp;F8&amp;", "&amp;G8</f>
        <v xml:space="preserve"> , </v>
      </c>
      <c r="L8" s="66">
        <f t="shared" ref="L8:L12" si="2">IFERROR($H8*INDEX($P$17:$S$32,MATCH($K8,$P$17:$P$32,0),2),0)</f>
        <v>0</v>
      </c>
      <c r="M8" s="66">
        <f t="shared" ref="M8:M12" si="3">IFERROR($H8*INDEX($P$17:$S$32,MATCH($K8,$P$17:$P$32,0),3),0)</f>
        <v>0</v>
      </c>
      <c r="N8" s="66">
        <f t="shared" ref="N8:N12" si="4">IFERROR($H8*INDEX($P$17:$S$32,MATCH($K8,$P$17:$P$32,0),4),0)</f>
        <v>0</v>
      </c>
      <c r="O8" s="58"/>
      <c r="P8" s="128" t="s">
        <v>181</v>
      </c>
      <c r="Q8" s="58"/>
      <c r="R8" s="58"/>
    </row>
    <row r="9" spans="2:19" x14ac:dyDescent="0.25">
      <c r="B9" s="62"/>
      <c r="C9" s="62"/>
      <c r="D9" s="111"/>
      <c r="E9" s="62"/>
      <c r="F9" s="62"/>
      <c r="G9" s="134"/>
      <c r="H9" s="64"/>
      <c r="I9" s="250">
        <f t="shared" si="0"/>
        <v>0</v>
      </c>
      <c r="J9" s="58"/>
      <c r="K9" s="66" t="str">
        <f t="shared" si="1"/>
        <v xml:space="preserve"> , </v>
      </c>
      <c r="L9" s="66">
        <f t="shared" si="2"/>
        <v>0</v>
      </c>
      <c r="M9" s="66">
        <f t="shared" si="3"/>
        <v>0</v>
      </c>
      <c r="N9" s="66">
        <f t="shared" si="4"/>
        <v>0</v>
      </c>
      <c r="O9" s="58"/>
      <c r="P9" s="128" t="s">
        <v>182</v>
      </c>
      <c r="Q9" s="58"/>
      <c r="R9" s="58"/>
    </row>
    <row r="10" spans="2:19" x14ac:dyDescent="0.25">
      <c r="B10" s="62"/>
      <c r="C10" s="62"/>
      <c r="D10" s="111"/>
      <c r="E10" s="62"/>
      <c r="F10" s="62"/>
      <c r="G10" s="134"/>
      <c r="H10" s="64"/>
      <c r="I10" s="250">
        <f t="shared" si="0"/>
        <v>0</v>
      </c>
      <c r="J10" s="58"/>
      <c r="K10" s="66" t="str">
        <f t="shared" si="1"/>
        <v xml:space="preserve"> , </v>
      </c>
      <c r="L10" s="66">
        <f t="shared" si="2"/>
        <v>0</v>
      </c>
      <c r="M10" s="66">
        <f t="shared" si="3"/>
        <v>0</v>
      </c>
      <c r="N10" s="66">
        <f t="shared" si="4"/>
        <v>0</v>
      </c>
      <c r="O10" s="58"/>
      <c r="P10" s="128" t="s">
        <v>184</v>
      </c>
      <c r="Q10" s="58"/>
      <c r="R10" s="58"/>
    </row>
    <row r="11" spans="2:19" x14ac:dyDescent="0.25">
      <c r="B11" s="62"/>
      <c r="C11" s="62"/>
      <c r="D11" s="111"/>
      <c r="E11" s="62"/>
      <c r="F11" s="62"/>
      <c r="G11" s="134"/>
      <c r="H11" s="64"/>
      <c r="I11" s="250">
        <f t="shared" si="0"/>
        <v>0</v>
      </c>
      <c r="J11" s="58"/>
      <c r="K11" s="66" t="str">
        <f t="shared" si="1"/>
        <v xml:space="preserve"> , </v>
      </c>
      <c r="L11" s="66">
        <f t="shared" si="2"/>
        <v>0</v>
      </c>
      <c r="M11" s="66">
        <f t="shared" si="3"/>
        <v>0</v>
      </c>
      <c r="N11" s="66">
        <f t="shared" si="4"/>
        <v>0</v>
      </c>
      <c r="O11" s="58"/>
      <c r="P11" s="128" t="s">
        <v>186</v>
      </c>
      <c r="Q11" s="58"/>
      <c r="R11" s="58"/>
    </row>
    <row r="12" spans="2:19" x14ac:dyDescent="0.25">
      <c r="B12" s="62"/>
      <c r="C12" s="62"/>
      <c r="D12" s="111"/>
      <c r="E12" s="62"/>
      <c r="F12" s="62"/>
      <c r="G12" s="134"/>
      <c r="H12" s="64"/>
      <c r="I12" s="250">
        <f t="shared" si="0"/>
        <v>0</v>
      </c>
      <c r="J12" s="58"/>
      <c r="K12" s="66" t="str">
        <f t="shared" si="1"/>
        <v xml:space="preserve"> , </v>
      </c>
      <c r="L12" s="66">
        <f t="shared" si="2"/>
        <v>0</v>
      </c>
      <c r="M12" s="66">
        <f t="shared" si="3"/>
        <v>0</v>
      </c>
      <c r="N12" s="66">
        <f t="shared" si="4"/>
        <v>0</v>
      </c>
      <c r="O12" s="58"/>
      <c r="P12" s="58"/>
      <c r="Q12" s="58"/>
      <c r="R12" s="58"/>
    </row>
    <row r="13" spans="2:19" ht="15.75" x14ac:dyDescent="0.25">
      <c r="B13" s="510" t="s">
        <v>26</v>
      </c>
      <c r="C13" s="511"/>
      <c r="D13" s="511"/>
      <c r="E13" s="511"/>
      <c r="F13" s="511"/>
      <c r="G13" s="511"/>
      <c r="H13" s="512"/>
      <c r="I13" s="237">
        <f>SUM(I8:I12)</f>
        <v>0</v>
      </c>
      <c r="J13" s="58"/>
      <c r="K13" s="58"/>
      <c r="L13" s="58"/>
      <c r="M13" s="58"/>
      <c r="N13" s="58"/>
      <c r="O13" s="58"/>
      <c r="P13" s="58"/>
      <c r="Q13" s="58"/>
      <c r="R13" s="58"/>
    </row>
    <row r="16" spans="2:19" ht="38.25" x14ac:dyDescent="0.25">
      <c r="B16" s="196" t="s">
        <v>260</v>
      </c>
      <c r="C16" s="23" t="s">
        <v>402</v>
      </c>
      <c r="D16" s="23" t="s">
        <v>258</v>
      </c>
      <c r="E16" s="196" t="s">
        <v>369</v>
      </c>
      <c r="H16" s="211" t="s">
        <v>342</v>
      </c>
      <c r="I16" s="211" t="s">
        <v>401</v>
      </c>
      <c r="P16" s="132" t="s">
        <v>343</v>
      </c>
      <c r="Q16" s="132" t="s">
        <v>257</v>
      </c>
      <c r="R16" s="132" t="s">
        <v>258</v>
      </c>
      <c r="S16" s="132" t="s">
        <v>11</v>
      </c>
    </row>
    <row r="17" spans="2:19" x14ac:dyDescent="0.25">
      <c r="B17" s="197"/>
      <c r="C17" s="230">
        <f>SUM(L8:L12)</f>
        <v>0</v>
      </c>
      <c r="D17" s="231">
        <f>SUM(M8:M12)</f>
        <v>0</v>
      </c>
      <c r="E17" s="232" t="str">
        <f>IFERROR(C18+D18,"Select Rate and Island from Summary Page")</f>
        <v>Select Rate and Island from Summary Page</v>
      </c>
      <c r="F17" s="233"/>
      <c r="G17" s="233"/>
      <c r="H17" s="234" t="str">
        <f>IFERROR(ROUND(B17/E17,1),"")</f>
        <v/>
      </c>
      <c r="I17" s="235" t="str">
        <f>IFERROR(ROUND((B17-I13)/E17,1),"")</f>
        <v/>
      </c>
      <c r="P17" s="223" t="s">
        <v>373</v>
      </c>
      <c r="Q17" s="66">
        <v>3.1E-2</v>
      </c>
      <c r="R17" s="66">
        <v>268.18</v>
      </c>
      <c r="S17" s="66">
        <v>100</v>
      </c>
    </row>
    <row r="18" spans="2:19" hidden="1" x14ac:dyDescent="0.25">
      <c r="C18" s="210" t="e">
        <f>C17*Summary!F5*12</f>
        <v>#VALUE!</v>
      </c>
      <c r="D18" s="210" t="e">
        <f>D17*Summary!G5</f>
        <v>#VALUE!</v>
      </c>
      <c r="P18" s="66" t="s">
        <v>374</v>
      </c>
      <c r="Q18" s="66">
        <v>3.7999999999999999E-2</v>
      </c>
      <c r="R18" s="66">
        <v>332.15</v>
      </c>
      <c r="S18" s="66">
        <v>150</v>
      </c>
    </row>
    <row r="19" spans="2:19" x14ac:dyDescent="0.25">
      <c r="P19" s="66" t="s">
        <v>375</v>
      </c>
      <c r="Q19" s="66">
        <v>3.7999999999999999E-2</v>
      </c>
      <c r="R19" s="66">
        <v>332.15</v>
      </c>
      <c r="S19" s="66">
        <v>200</v>
      </c>
    </row>
    <row r="20" spans="2:19" x14ac:dyDescent="0.25">
      <c r="P20" s="66" t="s">
        <v>387</v>
      </c>
      <c r="Q20" s="66">
        <v>4.8000000000000001E-2</v>
      </c>
      <c r="R20" s="66">
        <v>423.73</v>
      </c>
      <c r="S20" s="66">
        <v>200</v>
      </c>
    </row>
    <row r="21" spans="2:19" x14ac:dyDescent="0.25">
      <c r="P21" s="66" t="s">
        <v>376</v>
      </c>
      <c r="Q21" s="66">
        <v>1.9E-2</v>
      </c>
      <c r="R21" s="66">
        <v>165.16</v>
      </c>
      <c r="S21" s="66">
        <v>150</v>
      </c>
    </row>
    <row r="22" spans="2:19" x14ac:dyDescent="0.25">
      <c r="P22" s="66" t="s">
        <v>377</v>
      </c>
      <c r="Q22" s="66">
        <v>3.5999999999999997E-2</v>
      </c>
      <c r="R22" s="66">
        <v>315.73</v>
      </c>
      <c r="S22" s="66">
        <v>150</v>
      </c>
    </row>
    <row r="23" spans="2:19" x14ac:dyDescent="0.25">
      <c r="P23" s="66" t="s">
        <v>378</v>
      </c>
      <c r="Q23" s="66">
        <v>6.2E-2</v>
      </c>
      <c r="R23" s="66">
        <v>540.20000000000005</v>
      </c>
      <c r="S23" s="66">
        <v>200</v>
      </c>
    </row>
    <row r="24" spans="2:19" x14ac:dyDescent="0.25">
      <c r="P24" s="66" t="s">
        <v>386</v>
      </c>
      <c r="Q24" s="66">
        <v>7.0000000000000007E-2</v>
      </c>
      <c r="R24" s="66">
        <v>609.91999999999996</v>
      </c>
      <c r="S24" s="66">
        <v>200</v>
      </c>
    </row>
    <row r="25" spans="2:19" x14ac:dyDescent="0.25">
      <c r="P25" s="66" t="s">
        <v>379</v>
      </c>
      <c r="Q25" s="66">
        <v>2.5999999999999999E-2</v>
      </c>
      <c r="R25" s="66">
        <v>229.95</v>
      </c>
      <c r="S25" s="66">
        <v>150</v>
      </c>
    </row>
    <row r="26" spans="2:19" x14ac:dyDescent="0.25">
      <c r="P26" s="66" t="s">
        <v>380</v>
      </c>
      <c r="Q26" s="66">
        <v>2.5999999999999999E-2</v>
      </c>
      <c r="R26" s="66">
        <v>229.95</v>
      </c>
      <c r="S26" s="66">
        <v>150</v>
      </c>
    </row>
    <row r="27" spans="2:19" x14ac:dyDescent="0.25">
      <c r="P27" s="66" t="s">
        <v>381</v>
      </c>
      <c r="Q27" s="66">
        <v>2.5999999999999999E-2</v>
      </c>
      <c r="R27" s="66">
        <v>229.95</v>
      </c>
      <c r="S27" s="66">
        <v>200</v>
      </c>
    </row>
    <row r="28" spans="2:19" x14ac:dyDescent="0.25">
      <c r="P28" s="66" t="s">
        <v>388</v>
      </c>
      <c r="Q28" s="66">
        <v>2.5999999999999999E-2</v>
      </c>
      <c r="R28" s="66">
        <v>229.95</v>
      </c>
      <c r="S28" s="66">
        <v>200</v>
      </c>
    </row>
    <row r="29" spans="2:19" x14ac:dyDescent="0.25">
      <c r="P29" s="66" t="s">
        <v>382</v>
      </c>
      <c r="Q29" s="66">
        <v>7.0000000000000001E-3</v>
      </c>
      <c r="R29" s="66">
        <v>60.23</v>
      </c>
      <c r="S29" s="66">
        <v>150</v>
      </c>
    </row>
    <row r="30" spans="2:19" x14ac:dyDescent="0.25">
      <c r="P30" s="66" t="s">
        <v>383</v>
      </c>
      <c r="Q30" s="66">
        <v>1.2999999999999999E-2</v>
      </c>
      <c r="R30" s="66">
        <v>114.98</v>
      </c>
      <c r="S30" s="66">
        <v>150</v>
      </c>
    </row>
    <row r="31" spans="2:19" x14ac:dyDescent="0.25">
      <c r="P31" s="66" t="s">
        <v>384</v>
      </c>
      <c r="Q31" s="66">
        <v>0.02</v>
      </c>
      <c r="R31" s="66">
        <v>178.85</v>
      </c>
      <c r="S31" s="66">
        <v>200</v>
      </c>
    </row>
    <row r="32" spans="2:19" x14ac:dyDescent="0.25">
      <c r="P32" s="66" t="s">
        <v>385</v>
      </c>
      <c r="Q32" s="66">
        <v>2.9000000000000001E-2</v>
      </c>
      <c r="R32" s="66">
        <v>251.85</v>
      </c>
      <c r="S32" s="66">
        <v>200</v>
      </c>
    </row>
  </sheetData>
  <sheetProtection algorithmName="SHA-512" hashValue="3dL1osD0zeMGcxUeOs34iOhsdAFhqjRPumgmekGeb0M2S5VtwRNdIzmZknXoxv8J/l2LwDxPSye3QXh+S5apsQ==" saltValue="X5I0qKcv5YfxLyt848WaIw==" spinCount="100000" sheet="1" objects="1" scenarios="1"/>
  <mergeCells count="11">
    <mergeCell ref="B13:H13"/>
    <mergeCell ref="B2:I2"/>
    <mergeCell ref="B4:I4"/>
    <mergeCell ref="B5:B6"/>
    <mergeCell ref="C5:C6"/>
    <mergeCell ref="D5:D6"/>
    <mergeCell ref="E5:E6"/>
    <mergeCell ref="F5:F6"/>
    <mergeCell ref="G5:G6"/>
    <mergeCell ref="H5:H6"/>
    <mergeCell ref="I5:I6"/>
  </mergeCells>
  <conditionalFormatting sqref="H16:I17">
    <cfRule type="expression" dxfId="4" priority="1">
      <formula>ISBLANK($B$17)</formula>
    </cfRule>
  </conditionalFormatting>
  <dataValidations count="3">
    <dataValidation type="list" allowBlank="1" showInputMessage="1" showErrorMessage="1" sqref="E7:E12" xr:uid="{00000000-0002-0000-0800-000000000000}">
      <formula1>$R$5:$R$6</formula1>
    </dataValidation>
    <dataValidation type="list" allowBlank="1" showInputMessage="1" showErrorMessage="1" sqref="G7:G12" xr:uid="{00000000-0002-0000-0800-000001000000}">
      <formula1>$P$8:$P$11</formula1>
    </dataValidation>
    <dataValidation type="list" allowBlank="1" showInputMessage="1" showErrorMessage="1" sqref="F7:F12" xr:uid="{00000000-0002-0000-0800-000002000000}">
      <formula1>$P$5:$P$6</formula1>
    </dataValidation>
  </dataValidations>
  <hyperlinks>
    <hyperlink ref="B1" location="Summary!A1" display="Back to Summary Page"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c8d5760e-638a-47e8-9e2e-1226c2cb268d"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jOGQ1NzYwZS02MzhhLTQ3ZTgtOWUyZS0xMjI2YzJjYjI2OGQiIG9yaWdpbj0iZGVmYXVsdFZhbHVlIiAvPjxVc2VyTmFtZT5MRUlET1MtQ09SUFxuYW5kaW1hbnI8L1VzZXJOYW1lPjxEYXRlVGltZT4yLzI4LzIwMjMgODoyMjozMSBQTTwvRGF0ZVRpbWU+PExhYmVsU3RyaW5nPk5vIE1hcmtpbmc8L0xhYmVsU3RyaW5nPjwvaXRlbT48L2xhYmVsSGlzdG9yeT4=</Value>
</WrappedLabelHistory>
</file>

<file path=customXml/itemProps1.xml><?xml version="1.0" encoding="utf-8"?>
<ds:datastoreItem xmlns:ds="http://schemas.openxmlformats.org/officeDocument/2006/customXml" ds:itemID="{8F46E777-8886-46E4-8974-830A14D03C7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EDF0B12-383C-4281-A062-7EAEEB6963FB}">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Summary</vt:lpstr>
      <vt:lpstr>Electric Combination Oven</vt:lpstr>
      <vt:lpstr>Fryer</vt:lpstr>
      <vt:lpstr>Electric Convection Oven</vt:lpstr>
      <vt:lpstr>Dishwasher</vt:lpstr>
      <vt:lpstr>Electric Griddle</vt:lpstr>
      <vt:lpstr>Hot Food Holding Cabinet</vt:lpstr>
      <vt:lpstr>Ice Machine</vt:lpstr>
      <vt:lpstr>Refrigerator</vt:lpstr>
      <vt:lpstr>Freezer</vt:lpstr>
      <vt:lpstr>Steam Cooker</vt:lpstr>
      <vt:lpstr>Low-Flow Spray Nozzle</vt:lpstr>
      <vt:lpstr>Demand Controlled Ventilation</vt:lpstr>
      <vt:lpstr>Lookup Tables</vt:lpstr>
      <vt:lpstr>Effective Rates</vt:lpstr>
      <vt:lpstr>Idle_Rqmt</vt:lpstr>
      <vt:lpstr>Lookup_EffectiveRate</vt:lpstr>
    </vt:vector>
  </TitlesOfParts>
  <Company>Leidos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Nandimandalam, Rohith Varma [US-XX]</dc:creator>
  <cp:lastModifiedBy>Nandimandalam, Rohith Varma [US-IN]</cp:lastModifiedBy>
  <dcterms:created xsi:type="dcterms:W3CDTF">2023-02-28T20:17:34Z</dcterms:created>
  <dcterms:modified xsi:type="dcterms:W3CDTF">2023-10-31T20:06:29Z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ba03fdd0-a521-42d1-a1c9-aaccf7561ab6</vt:lpwstr>
  </property>
  <property fmtid="{D5CDD505-2E9C-101B-9397-08002B2CF9AE}" pid="3" name="bjDocumentSecurityLabel">
    <vt:lpwstr>No Marking</vt:lpwstr>
  </property>
  <property fmtid="{D5CDD505-2E9C-101B-9397-08002B2CF9AE}" pid="4" name="bjSaver">
    <vt:lpwstr>8QO8exois2i+KxepBlBMaoZxigxPo2ve</vt:lpwstr>
  </property>
  <property fmtid="{D5CDD505-2E9C-101B-9397-08002B2CF9AE}" pid="5" name="bjLabelHistoryID">
    <vt:lpwstr>{1EDF0B12-383C-4281-A062-7EAEEB6963FB}</vt:lpwstr>
  </property>
  <property fmtid="{D5CDD505-2E9C-101B-9397-08002B2CF9AE}" pid="6" name="MSIP_Label_c968a81f-7ed4-4faa-9408-9652e001dd96_Enabled">
    <vt:lpwstr>true</vt:lpwstr>
  </property>
  <property fmtid="{D5CDD505-2E9C-101B-9397-08002B2CF9AE}" pid="7" name="MSIP_Label_c968a81f-7ed4-4faa-9408-9652e001dd96_SetDate">
    <vt:lpwstr>2023-06-22T18:46:37Z</vt:lpwstr>
  </property>
  <property fmtid="{D5CDD505-2E9C-101B-9397-08002B2CF9AE}" pid="8" name="MSIP_Label_c968a81f-7ed4-4faa-9408-9652e001dd96_Method">
    <vt:lpwstr>Privileged</vt:lpwstr>
  </property>
  <property fmtid="{D5CDD505-2E9C-101B-9397-08002B2CF9AE}" pid="9" name="MSIP_Label_c968a81f-7ed4-4faa-9408-9652e001dd96_Name">
    <vt:lpwstr>Unrestricted</vt:lpwstr>
  </property>
  <property fmtid="{D5CDD505-2E9C-101B-9397-08002B2CF9AE}" pid="10" name="MSIP_Label_c968a81f-7ed4-4faa-9408-9652e001dd96_SiteId">
    <vt:lpwstr>b64da4ac-e800-4cfc-8931-e607f720a1b8</vt:lpwstr>
  </property>
  <property fmtid="{D5CDD505-2E9C-101B-9397-08002B2CF9AE}" pid="11" name="MSIP_Label_c968a81f-7ed4-4faa-9408-9652e001dd96_ActionId">
    <vt:lpwstr>680647d0-3ead-488c-9e83-47570964be61</vt:lpwstr>
  </property>
  <property fmtid="{D5CDD505-2E9C-101B-9397-08002B2CF9AE}" pid="12" name="MSIP_Label_c968a81f-7ed4-4faa-9408-9652e001dd96_ContentBits">
    <vt:lpwstr>0</vt:lpwstr>
  </property>
</Properties>
</file>